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6C015EFF-83BF-4406-888A-6A3FF99EA12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E1" sheetId="19" r:id="rId1"/>
    <sheet name="E2" sheetId="14" r:id="rId2"/>
    <sheet name="Example" sheetId="15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9" l="1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3" i="19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S3" i="14"/>
  <c r="R3" i="14"/>
  <c r="D51" i="19" l="1"/>
  <c r="D52" i="19"/>
  <c r="E17" i="19"/>
  <c r="D4" i="19"/>
  <c r="D5" i="19"/>
  <c r="D6" i="19"/>
  <c r="D7" i="19"/>
  <c r="D8" i="19"/>
  <c r="D9" i="19"/>
  <c r="E8" i="19" s="1"/>
  <c r="B11" i="15" s="1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E16" i="19" s="1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E9" i="19" s="1"/>
  <c r="B12" i="15" s="1"/>
  <c r="D42" i="19"/>
  <c r="D43" i="19"/>
  <c r="D44" i="19"/>
  <c r="D45" i="19"/>
  <c r="D46" i="19"/>
  <c r="D47" i="19"/>
  <c r="D48" i="19"/>
  <c r="D49" i="19"/>
  <c r="D50" i="19"/>
  <c r="D3" i="19"/>
  <c r="E10" i="19" s="1"/>
  <c r="B13" i="15" s="1"/>
  <c r="E14" i="19" l="1"/>
  <c r="B17" i="15" s="1"/>
  <c r="E6" i="19"/>
  <c r="B9" i="15" s="1"/>
  <c r="E7" i="19"/>
  <c r="B10" i="15" s="1"/>
  <c r="E13" i="19"/>
  <c r="B16" i="15" s="1"/>
  <c r="E5" i="19"/>
  <c r="B8" i="15" s="1"/>
  <c r="E15" i="19"/>
  <c r="E12" i="19"/>
  <c r="B15" i="15" s="1"/>
  <c r="E4" i="19"/>
  <c r="B7" i="15" s="1"/>
  <c r="E3" i="19"/>
  <c r="B6" i="15" s="1"/>
  <c r="E11" i="19"/>
  <c r="B14" i="15" s="1"/>
  <c r="E18" i="19"/>
  <c r="C6" i="14"/>
  <c r="C10" i="14"/>
  <c r="C9" i="14"/>
  <c r="C14" i="14"/>
  <c r="C8" i="14"/>
  <c r="C13" i="14"/>
  <c r="C7" i="14"/>
  <c r="C12" i="14" l="1"/>
  <c r="C5" i="14"/>
  <c r="C4" i="14"/>
  <c r="C11" i="14"/>
  <c r="C3" i="14"/>
  <c r="E3" i="14" s="1"/>
  <c r="D16" i="15"/>
  <c r="E16" i="15" s="1"/>
  <c r="D15" i="15"/>
  <c r="E15" i="15" s="1"/>
  <c r="D17" i="15"/>
  <c r="E17" i="15" s="1"/>
  <c r="D14" i="15"/>
  <c r="E14" i="15" s="1"/>
  <c r="M3" i="19"/>
  <c r="M10" i="19"/>
  <c r="M11" i="19"/>
  <c r="M12" i="19"/>
  <c r="L15" i="19"/>
  <c r="L18" i="19"/>
  <c r="G13" i="19"/>
  <c r="G14" i="19"/>
  <c r="G15" i="19"/>
  <c r="G16" i="19"/>
  <c r="H17" i="19"/>
  <c r="H18" i="19"/>
  <c r="L13" i="19"/>
  <c r="M13" i="19"/>
  <c r="L14" i="19"/>
  <c r="M14" i="19"/>
  <c r="L16" i="19"/>
  <c r="M16" i="19"/>
  <c r="L17" i="19"/>
  <c r="M17" i="19"/>
  <c r="M8" i="19"/>
  <c r="M9" i="19"/>
  <c r="M7" i="19"/>
  <c r="L7" i="19"/>
  <c r="M6" i="19"/>
  <c r="L6" i="19"/>
  <c r="M5" i="19"/>
  <c r="L5" i="19"/>
  <c r="M4" i="19"/>
  <c r="L4" i="19"/>
  <c r="H15" i="19" l="1"/>
  <c r="M15" i="19"/>
  <c r="M18" i="19"/>
  <c r="G17" i="19"/>
  <c r="H14" i="19"/>
  <c r="G18" i="19"/>
  <c r="H16" i="19"/>
  <c r="H13" i="19"/>
  <c r="L8" i="19"/>
  <c r="L10" i="19"/>
  <c r="L11" i="19"/>
  <c r="L12" i="19"/>
  <c r="L9" i="19"/>
  <c r="L3" i="19"/>
  <c r="H7" i="19" l="1"/>
  <c r="G5" i="19"/>
  <c r="G3" i="19"/>
  <c r="H4" i="19"/>
  <c r="H5" i="19"/>
  <c r="H6" i="19"/>
  <c r="G7" i="19"/>
  <c r="G8" i="19"/>
  <c r="H9" i="19"/>
  <c r="H10" i="19"/>
  <c r="H11" i="19"/>
  <c r="H12" i="19"/>
  <c r="H3" i="19"/>
  <c r="G6" i="19" l="1"/>
  <c r="H8" i="19"/>
  <c r="G12" i="19"/>
  <c r="G4" i="19"/>
  <c r="G11" i="19"/>
  <c r="G10" i="19"/>
  <c r="G9" i="19"/>
  <c r="D13" i="15" l="1"/>
  <c r="E13" i="15" s="1"/>
  <c r="E3" i="15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3" i="14"/>
  <c r="F13" i="15" l="1"/>
  <c r="G13" i="15" s="1"/>
  <c r="H13" i="15" s="1"/>
  <c r="F15" i="15"/>
  <c r="G15" i="15" s="1"/>
  <c r="H15" i="15" s="1"/>
  <c r="F17" i="15"/>
  <c r="G17" i="15" s="1"/>
  <c r="H17" i="15" s="1"/>
  <c r="F16" i="15"/>
  <c r="G16" i="15" s="1"/>
  <c r="H16" i="15" s="1"/>
  <c r="F14" i="15"/>
  <c r="G14" i="15" s="1"/>
  <c r="H14" i="15" s="1"/>
  <c r="C6" i="15"/>
  <c r="F4" i="14"/>
  <c r="F9" i="15"/>
  <c r="G9" i="15" s="1"/>
  <c r="H9" i="15" s="1"/>
  <c r="F12" i="15"/>
  <c r="G12" i="15" s="1"/>
  <c r="H12" i="15" s="1"/>
  <c r="F8" i="15"/>
  <c r="G8" i="15" s="1"/>
  <c r="H8" i="15" s="1"/>
  <c r="F6" i="15"/>
  <c r="G6" i="15" s="1"/>
  <c r="H6" i="15" s="1"/>
  <c r="F10" i="15"/>
  <c r="G10" i="15" s="1"/>
  <c r="H10" i="15" s="1"/>
  <c r="F7" i="15"/>
  <c r="G7" i="15" s="1"/>
  <c r="H7" i="15" s="1"/>
  <c r="F11" i="15"/>
  <c r="G11" i="15" s="1"/>
  <c r="H11" i="15" s="1"/>
  <c r="E4" i="14" l="1"/>
  <c r="D4" i="14"/>
  <c r="C7" i="15" s="1"/>
  <c r="G5" i="14" l="1"/>
  <c r="E5" i="14" s="1"/>
  <c r="F5" i="14" l="1"/>
  <c r="D5" i="14"/>
  <c r="C8" i="15" s="1"/>
  <c r="H6" i="14" l="1"/>
  <c r="D6" i="14" l="1"/>
  <c r="C9" i="15" s="1"/>
  <c r="E6" i="14"/>
  <c r="G6" i="14"/>
  <c r="F6" i="14"/>
  <c r="I7" i="14" l="1"/>
  <c r="E7" i="14" s="1"/>
  <c r="F7" i="14" l="1"/>
  <c r="H7" i="14"/>
  <c r="G7" i="14"/>
  <c r="D7" i="14"/>
  <c r="C10" i="15" s="1"/>
  <c r="J8" i="14" l="1"/>
  <c r="D8" i="14" l="1"/>
  <c r="C11" i="15" s="1"/>
  <c r="E8" i="14"/>
  <c r="I8" i="14"/>
  <c r="F8" i="14"/>
  <c r="H8" i="14"/>
  <c r="G8" i="14"/>
  <c r="K9" i="14" l="1"/>
  <c r="D9" i="14" l="1"/>
  <c r="C12" i="15" s="1"/>
  <c r="I9" i="14"/>
  <c r="F9" i="14"/>
  <c r="J9" i="14"/>
  <c r="E9" i="14"/>
  <c r="G9" i="14"/>
  <c r="H9" i="14"/>
  <c r="L10" i="14" l="1"/>
  <c r="E10" i="14" s="1"/>
  <c r="K10" i="14" l="1"/>
  <c r="G10" i="14"/>
  <c r="I10" i="14"/>
  <c r="F10" i="14"/>
  <c r="H10" i="14"/>
  <c r="J10" i="14"/>
  <c r="M11" i="14"/>
  <c r="D10" i="14"/>
  <c r="C13" i="15" s="1"/>
  <c r="D11" i="14" l="1"/>
  <c r="C14" i="15" s="1"/>
  <c r="F11" i="14"/>
  <c r="H11" i="14"/>
  <c r="J11" i="14"/>
  <c r="E11" i="14"/>
  <c r="G11" i="14"/>
  <c r="I11" i="14"/>
  <c r="L11" i="14"/>
  <c r="K11" i="14"/>
  <c r="N12" i="14" l="1"/>
  <c r="D12" i="14" l="1"/>
  <c r="C15" i="15" s="1"/>
  <c r="E12" i="14"/>
  <c r="J12" i="14"/>
  <c r="I12" i="14"/>
  <c r="M12" i="14"/>
  <c r="H12" i="14"/>
  <c r="F12" i="14"/>
  <c r="K12" i="14"/>
  <c r="L12" i="14"/>
  <c r="G12" i="14"/>
  <c r="O13" i="14" l="1"/>
  <c r="N13" i="14" s="1"/>
  <c r="G13" i="14" l="1"/>
  <c r="J13" i="14"/>
  <c r="M13" i="14"/>
  <c r="H13" i="14"/>
  <c r="E13" i="14"/>
  <c r="D13" i="14"/>
  <c r="C16" i="15" s="1"/>
  <c r="K13" i="14"/>
  <c r="I13" i="14"/>
  <c r="L13" i="14"/>
  <c r="F13" i="14"/>
  <c r="P14" i="14" l="1"/>
  <c r="I14" i="14" s="1"/>
  <c r="N14" i="14" l="1"/>
  <c r="D14" i="14"/>
  <c r="C17" i="15" s="1"/>
  <c r="M14" i="14"/>
  <c r="G14" i="14"/>
  <c r="E14" i="14"/>
  <c r="O14" i="14"/>
  <c r="H14" i="14"/>
  <c r="J14" i="14"/>
  <c r="L14" i="14"/>
  <c r="F14" i="14"/>
  <c r="K14" i="14"/>
</calcChain>
</file>

<file path=xl/sharedStrings.xml><?xml version="1.0" encoding="utf-8"?>
<sst xmlns="http://schemas.openxmlformats.org/spreadsheetml/2006/main" count="98" uniqueCount="92">
  <si>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</si>
  <si>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</si>
  <si>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</si>
  <si>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</si>
  <si>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</si>
  <si>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</si>
  <si>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</si>
  <si>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</si>
  <si>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</si>
  <si>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</si>
  <si>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</si>
  <si>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</si>
  <si>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</si>
  <si>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</si>
  <si>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</si>
  <si>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</si>
  <si>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</si>
  <si>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</si>
  <si>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</si>
  <si>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</si>
  <si>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</si>
  <si>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</si>
  <si>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</si>
  <si>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</si>
  <si>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</si>
  <si>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</si>
  <si>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</si>
  <si>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</si>
  <si>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</si>
  <si>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</si>
  <si>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</si>
  <si>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</si>
  <si>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</si>
  <si>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</si>
  <si>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M2</t>
  </si>
  <si>
    <t>DATE</t>
  </si>
  <si>
    <t>Deviation</t>
  </si>
  <si>
    <t>ACF</t>
  </si>
  <si>
    <t>UK visits</t>
  </si>
  <si>
    <t>abroad (000)</t>
  </si>
  <si>
    <t>from mean</t>
  </si>
  <si>
    <t>-CI</t>
  </si>
  <si>
    <t>+CI</t>
  </si>
  <si>
    <t>Lag</t>
  </si>
  <si>
    <t>AC</t>
  </si>
  <si>
    <t>PAC</t>
  </si>
  <si>
    <t>k</t>
  </si>
  <si>
    <r>
      <t>r</t>
    </r>
    <r>
      <rPr>
        <vertAlign val="subscript"/>
        <sz val="11"/>
        <rFont val="Calibri"/>
        <family val="2"/>
        <scheme val="minor"/>
      </rPr>
      <t>k</t>
    </r>
  </si>
  <si>
    <r>
      <t>r</t>
    </r>
    <r>
      <rPr>
        <vertAlign val="subscript"/>
        <sz val="11"/>
        <rFont val="Calibri"/>
        <family val="2"/>
        <scheme val="minor"/>
      </rPr>
      <t>k,j</t>
    </r>
  </si>
  <si>
    <t>k,1</t>
  </si>
  <si>
    <t>k,2</t>
  </si>
  <si>
    <t>k,3</t>
  </si>
  <si>
    <t>k,4</t>
  </si>
  <si>
    <t>k,5</t>
  </si>
  <si>
    <t>k,6</t>
  </si>
  <si>
    <t>k,7</t>
  </si>
  <si>
    <t>C+</t>
  </si>
  <si>
    <t>C-</t>
  </si>
  <si>
    <t>=SE</t>
  </si>
  <si>
    <t>PACF</t>
  </si>
  <si>
    <t>Q-Stat</t>
  </si>
  <si>
    <t>Prob</t>
  </si>
  <si>
    <t>t-value</t>
  </si>
  <si>
    <t>Prob for t</t>
  </si>
  <si>
    <t>Decision</t>
  </si>
  <si>
    <t>k,8</t>
  </si>
  <si>
    <t>SE</t>
  </si>
  <si>
    <t>Corrected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</si>
  <si>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</si>
  <si>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</si>
  <si>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</si>
  <si>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</si>
  <si>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</si>
  <si>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</si>
  <si>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</si>
  <si>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</si>
  <si>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</si>
  <si>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</si>
  <si>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</si>
  <si>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</si>
  <si>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</si>
  <si>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</si>
  <si>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</si>
  <si>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</si>
  <si>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k,9</t>
  </si>
  <si>
    <t>k,10</t>
  </si>
  <si>
    <t>k,11</t>
  </si>
  <si>
    <t>k,12</t>
  </si>
  <si>
    <t>Number of observations=</t>
  </si>
  <si>
    <t>Example</t>
  </si>
  <si>
    <t>E1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</si>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</sst>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165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165" fontId="5" fillId="0" borderId="0" xfId="0" applyNumberFormat="1" applyFont="1"/>
    <xf numFmtId="165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65" fontId="5" fillId="0" borderId="0" xfId="0" applyNumberFormat="1" applyFont="1" applyBorder="1"/>
    <xf numFmtId="0" fontId="0" fillId="0" borderId="0" xfId="0" applyBorder="1"/>
    <xf numFmtId="0" fontId="6" fillId="0" borderId="0" xfId="0" applyFont="1"/>
    <xf numFmtId="0" fontId="7" fillId="0" borderId="1" xfId="0" applyFont="1" applyBorder="1"/>
    <xf numFmtId="0" fontId="8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/>
    <xf numFmtId="165" fontId="6" fillId="0" borderId="0" xfId="0" applyNumberFormat="1" applyFont="1"/>
    <xf numFmtId="164" fontId="7" fillId="0" borderId="0" xfId="0" quotePrefix="1" applyNumberFormat="1" applyFont="1" applyAlignment="1">
      <alignment horizontal="center"/>
    </xf>
    <xf numFmtId="165" fontId="3" fillId="0" borderId="0" xfId="0" quotePrefix="1" applyNumberFormat="1" applyFont="1" applyAlignment="1">
      <alignment horizontal="center"/>
    </xf>
    <xf numFmtId="165" fontId="5" fillId="0" borderId="0" xfId="0" quotePrefix="1" applyNumberFormat="1" applyFont="1"/>
    <xf numFmtId="0" fontId="0" fillId="0" borderId="3" xfId="0" applyFont="1" applyBorder="1"/>
    <xf numFmtId="0" fontId="0" fillId="2" borderId="3" xfId="0" applyFont="1" applyFill="1" applyBorder="1" applyAlignment="1">
      <alignment wrapText="1"/>
    </xf>
    <xf numFmtId="0" fontId="0" fillId="2" borderId="3" xfId="0" quotePrefix="1" applyFont="1" applyFill="1" applyBorder="1"/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3" fillId="0" borderId="3" xfId="0" quotePrefix="1" applyNumberFormat="1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6" fontId="3" fillId="0" borderId="3" xfId="0" quotePrefix="1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0" fontId="8" fillId="2" borderId="3" xfId="0" quotePrefix="1" applyNumberFormat="1" applyFont="1" applyFill="1" applyBorder="1" applyAlignment="1">
      <alignment horizontal="center"/>
    </xf>
    <xf numFmtId="165" fontId="6" fillId="0" borderId="3" xfId="0" applyNumberFormat="1" applyFont="1" applyBorder="1"/>
    <xf numFmtId="165" fontId="7" fillId="0" borderId="4" xfId="0" quotePrefix="1" applyNumberFormat="1" applyFont="1" applyBorder="1" applyAlignment="1">
      <alignment horizontal="center"/>
    </xf>
    <xf numFmtId="0" fontId="0" fillId="0" borderId="3" xfId="0" applyBorder="1"/>
    <xf numFmtId="2" fontId="7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9" fillId="2" borderId="3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Autocorrelations and the standard errors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'E1'!$E$2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'E1'!$E$3:$E$18</c:f>
              <c:numCache>
                <c:formatCode>0.000</c:formatCode>
                <c:ptCount val="16"/>
                <c:pt idx="0">
                  <c:v>0.87973577164154104</c:v>
                </c:pt>
                <c:pt idx="1">
                  <c:v>0.82474725029984386</c:v>
                </c:pt>
                <c:pt idx="2">
                  <c:v>0.74918187224650046</c:v>
                </c:pt>
                <c:pt idx="3">
                  <c:v>0.69910032602886274</c:v>
                </c:pt>
                <c:pt idx="4">
                  <c:v>0.6365992346485212</c:v>
                </c:pt>
                <c:pt idx="5">
                  <c:v>0.56673270447948676</c:v>
                </c:pt>
                <c:pt idx="6">
                  <c:v>0.52245060411230415</c:v>
                </c:pt>
                <c:pt idx="7">
                  <c:v>0.4431512662567248</c:v>
                </c:pt>
                <c:pt idx="8">
                  <c:v>0.38617768344402187</c:v>
                </c:pt>
                <c:pt idx="9">
                  <c:v>0.32168749591488821</c:v>
                </c:pt>
                <c:pt idx="10">
                  <c:v>0.27178159267022739</c:v>
                </c:pt>
                <c:pt idx="11">
                  <c:v>0.22981943203033836</c:v>
                </c:pt>
                <c:pt idx="12">
                  <c:v>0.20843762482284375</c:v>
                </c:pt>
                <c:pt idx="13">
                  <c:v>0.17813568298622073</c:v>
                </c:pt>
                <c:pt idx="14">
                  <c:v>0.13909678089198099</c:v>
                </c:pt>
                <c:pt idx="15">
                  <c:v>9.0527969865798391E-2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2-43CA-96CB-F1D228A3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5016544"/>
        <c:axId val="245016936"/>
      </c:barChart>
      <c:lineChart>
        <c:grouping val="standard"/>
        <c:varyColors val="0"/>
        <c:ser>
          <c:idx val="1"/>
          <c:order val="1"/>
          <c:tx>
            <c:strRef>
              <c:f>'E1'!$G$2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'E1'!$G$3:$G$18</c:f>
              <c:numCache>
                <c:formatCode>0.000</c:formatCode>
                <c:ptCount val="16"/>
                <c:pt idx="0">
                  <c:v>0.27718585822512665</c:v>
                </c:pt>
                <c:pt idx="1">
                  <c:v>0.27718585822512665</c:v>
                </c:pt>
                <c:pt idx="2">
                  <c:v>0.27718585822512665</c:v>
                </c:pt>
                <c:pt idx="3">
                  <c:v>0.27718585822512665</c:v>
                </c:pt>
                <c:pt idx="4">
                  <c:v>0.27718585822512665</c:v>
                </c:pt>
                <c:pt idx="5">
                  <c:v>0.27718585822512665</c:v>
                </c:pt>
                <c:pt idx="6">
                  <c:v>0.27718585822512665</c:v>
                </c:pt>
                <c:pt idx="7">
                  <c:v>0.27718585822512665</c:v>
                </c:pt>
                <c:pt idx="8">
                  <c:v>0.27718585822512665</c:v>
                </c:pt>
                <c:pt idx="9">
                  <c:v>0.27718585822512665</c:v>
                </c:pt>
                <c:pt idx="10">
                  <c:v>0.27718585822512665</c:v>
                </c:pt>
                <c:pt idx="11">
                  <c:v>0.27718585822512665</c:v>
                </c:pt>
                <c:pt idx="12">
                  <c:v>0.27718585822512665</c:v>
                </c:pt>
                <c:pt idx="13">
                  <c:v>0.27718585822512665</c:v>
                </c:pt>
                <c:pt idx="14">
                  <c:v>0.27718585822512665</c:v>
                </c:pt>
                <c:pt idx="15">
                  <c:v>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2-43CA-96CB-F1D228A36D6B}"/>
            </c:ext>
          </c:extLst>
        </c:ser>
        <c:ser>
          <c:idx val="2"/>
          <c:order val="2"/>
          <c:tx>
            <c:strRef>
              <c:f>'E1'!$H$2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'E1'!$H$3:$H$18</c:f>
              <c:numCache>
                <c:formatCode>0.000</c:formatCode>
                <c:ptCount val="16"/>
                <c:pt idx="0">
                  <c:v>-0.27718585822512665</c:v>
                </c:pt>
                <c:pt idx="1">
                  <c:v>-0.27718585822512665</c:v>
                </c:pt>
                <c:pt idx="2">
                  <c:v>-0.27718585822512665</c:v>
                </c:pt>
                <c:pt idx="3">
                  <c:v>-0.27718585822512665</c:v>
                </c:pt>
                <c:pt idx="4">
                  <c:v>-0.27718585822512665</c:v>
                </c:pt>
                <c:pt idx="5">
                  <c:v>-0.27718585822512665</c:v>
                </c:pt>
                <c:pt idx="6">
                  <c:v>-0.27718585822512665</c:v>
                </c:pt>
                <c:pt idx="7">
                  <c:v>-0.27718585822512665</c:v>
                </c:pt>
                <c:pt idx="8">
                  <c:v>-0.27718585822512665</c:v>
                </c:pt>
                <c:pt idx="9">
                  <c:v>-0.27718585822512665</c:v>
                </c:pt>
                <c:pt idx="10">
                  <c:v>-0.27718585822512665</c:v>
                </c:pt>
                <c:pt idx="11">
                  <c:v>-0.27718585822512665</c:v>
                </c:pt>
                <c:pt idx="12">
                  <c:v>-0.27718585822512665</c:v>
                </c:pt>
                <c:pt idx="13">
                  <c:v>-0.27718585822512665</c:v>
                </c:pt>
                <c:pt idx="14">
                  <c:v>-0.27718585822512665</c:v>
                </c:pt>
                <c:pt idx="15">
                  <c:v>-0.27718585822512665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2-43CA-96CB-F1D228A3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16544"/>
        <c:axId val="245016936"/>
      </c:lineChart>
      <c:catAx>
        <c:axId val="24501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936"/>
        <c:crosses val="autoZero"/>
        <c:auto val="1"/>
        <c:lblAlgn val="ctr"/>
        <c:lblOffset val="100"/>
        <c:noMultiLvlLbl val="0"/>
      </c:catAx>
      <c:valAx>
        <c:axId val="24501693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Autocorrelations and the corrected standard errors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'E1'!$E$2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'E1'!$E$3:$E$18</c:f>
              <c:numCache>
                <c:formatCode>0.000</c:formatCode>
                <c:ptCount val="16"/>
                <c:pt idx="0">
                  <c:v>0.87973577164154104</c:v>
                </c:pt>
                <c:pt idx="1">
                  <c:v>0.82474725029984386</c:v>
                </c:pt>
                <c:pt idx="2">
                  <c:v>0.74918187224650046</c:v>
                </c:pt>
                <c:pt idx="3">
                  <c:v>0.69910032602886274</c:v>
                </c:pt>
                <c:pt idx="4">
                  <c:v>0.6365992346485212</c:v>
                </c:pt>
                <c:pt idx="5">
                  <c:v>0.56673270447948676</c:v>
                </c:pt>
                <c:pt idx="6">
                  <c:v>0.52245060411230415</c:v>
                </c:pt>
                <c:pt idx="7">
                  <c:v>0.4431512662567248</c:v>
                </c:pt>
                <c:pt idx="8">
                  <c:v>0.38617768344402187</c:v>
                </c:pt>
                <c:pt idx="9">
                  <c:v>0.32168749591488821</c:v>
                </c:pt>
                <c:pt idx="10">
                  <c:v>0.27178159267022739</c:v>
                </c:pt>
                <c:pt idx="11">
                  <c:v>0.22981943203033836</c:v>
                </c:pt>
                <c:pt idx="12">
                  <c:v>0.20843762482284375</c:v>
                </c:pt>
                <c:pt idx="13">
                  <c:v>0.17813568298622073</c:v>
                </c:pt>
                <c:pt idx="14">
                  <c:v>0.13909678089198099</c:v>
                </c:pt>
                <c:pt idx="15">
                  <c:v>9.0527969865798391E-2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319-B56E-7FF4D43F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5016544"/>
        <c:axId val="245016936"/>
      </c:barChart>
      <c:lineChart>
        <c:grouping val="standard"/>
        <c:varyColors val="0"/>
        <c:ser>
          <c:idx val="1"/>
          <c:order val="1"/>
          <c:tx>
            <c:strRef>
              <c:f>'E1'!$L$2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'E1'!$L$3:$L$18</c:f>
              <c:numCache>
                <c:formatCode>0.000</c:formatCode>
                <c:ptCount val="16"/>
                <c:pt idx="0">
                  <c:v>0.2690713374095885</c:v>
                </c:pt>
                <c:pt idx="1">
                  <c:v>0.26631155843080889</c:v>
                </c:pt>
                <c:pt idx="2">
                  <c:v>0.263522878878301</c:v>
                </c:pt>
                <c:pt idx="3">
                  <c:v>0.2607043713303811</c:v>
                </c:pt>
                <c:pt idx="4">
                  <c:v>0.2578550576762666</c:v>
                </c:pt>
                <c:pt idx="5">
                  <c:v>0.2549739051504924</c:v>
                </c:pt>
                <c:pt idx="6">
                  <c:v>0.25205982195929966</c:v>
                </c:pt>
                <c:pt idx="7">
                  <c:v>0.24911165244647906</c:v>
                </c:pt>
                <c:pt idx="8">
                  <c:v>0.24612817173797258</c:v>
                </c:pt>
                <c:pt idx="9">
                  <c:v>0.24310807979484855</c:v>
                </c:pt>
                <c:pt idx="10">
                  <c:v>0.24004999479275144</c:v>
                </c:pt>
                <c:pt idx="11">
                  <c:v>0.23695244573217963</c:v>
                </c:pt>
                <c:pt idx="12">
                  <c:v>0.23381386416746777</c:v>
                </c:pt>
                <c:pt idx="13">
                  <c:v>0.23063257492250444</c:v>
                </c:pt>
                <c:pt idx="14">
                  <c:v>0.22740678563720598</c:v>
                </c:pt>
                <c:pt idx="15">
                  <c:v>0.22413457495957131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9-4319-B56E-7FF4D43F3DD6}"/>
            </c:ext>
          </c:extLst>
        </c:ser>
        <c:ser>
          <c:idx val="2"/>
          <c:order val="2"/>
          <c:tx>
            <c:strRef>
              <c:f>'E1'!$M$2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'E1'!$M$3:$M$18</c:f>
              <c:numCache>
                <c:formatCode>0.000</c:formatCode>
                <c:ptCount val="16"/>
                <c:pt idx="0">
                  <c:v>-0.2690713374095885</c:v>
                </c:pt>
                <c:pt idx="1">
                  <c:v>-0.26631155843080889</c:v>
                </c:pt>
                <c:pt idx="2">
                  <c:v>-0.263522878878301</c:v>
                </c:pt>
                <c:pt idx="3">
                  <c:v>-0.2607043713303811</c:v>
                </c:pt>
                <c:pt idx="4">
                  <c:v>-0.2578550576762666</c:v>
                </c:pt>
                <c:pt idx="5">
                  <c:v>-0.2549739051504924</c:v>
                </c:pt>
                <c:pt idx="6">
                  <c:v>-0.25205982195929966</c:v>
                </c:pt>
                <c:pt idx="7">
                  <c:v>-0.24911165244647906</c:v>
                </c:pt>
                <c:pt idx="8">
                  <c:v>-0.24612817173797258</c:v>
                </c:pt>
                <c:pt idx="9">
                  <c:v>-0.24310807979484855</c:v>
                </c:pt>
                <c:pt idx="10">
                  <c:v>-0.24004999479275144</c:v>
                </c:pt>
                <c:pt idx="11">
                  <c:v>-0.23695244573217963</c:v>
                </c:pt>
                <c:pt idx="12">
                  <c:v>-0.23381386416746777</c:v>
                </c:pt>
                <c:pt idx="13">
                  <c:v>-0.23063257492250444</c:v>
                </c:pt>
                <c:pt idx="14">
                  <c:v>-0.22740678563720598</c:v>
                </c:pt>
                <c:pt idx="15">
                  <c:v>-0.22413457495957131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9-4319-B56E-7FF4D43F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16544"/>
        <c:axId val="245016936"/>
      </c:lineChart>
      <c:catAx>
        <c:axId val="24501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936"/>
        <c:crosses val="autoZero"/>
        <c:auto val="1"/>
        <c:lblAlgn val="ctr"/>
        <c:lblOffset val="100"/>
        <c:noMultiLvlLbl val="0"/>
      </c:catAx>
      <c:valAx>
        <c:axId val="24501693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 r</a:t>
            </a:r>
            <a:r>
              <a:rPr lang="en-US" baseline="-25000"/>
              <a:t>k,j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'E2'!$D$1:$D$2</c:f>
              <c:strCache>
                <c:ptCount val="2"/>
                <c:pt idx="0">
                  <c:v>PAC</c:v>
                </c:pt>
                <c:pt idx="1">
                  <c:v>rk,j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'E2'!$D$3:$D$14</c:f>
              <c:numCache>
                <c:formatCode>0.000</c:formatCode>
                <c:ptCount val="12"/>
                <c:pt idx="0">
                  <c:v>0.87973577164154104</c:v>
                </c:pt>
                <c:pt idx="1">
                  <c:v>0.22476822447716061</c:v>
                </c:pt>
                <c:pt idx="2">
                  <c:v>-5.1395229430121217E-2</c:v>
                </c:pt>
                <c:pt idx="3">
                  <c:v>4.8734808361235622E-2</c:v>
                </c:pt>
                <c:pt idx="4">
                  <c:v>-3.6469316795223403E-2</c:v>
                </c:pt>
                <c:pt idx="5">
                  <c:v>-9.4220140472369915E-2</c:v>
                </c:pt>
                <c:pt idx="6">
                  <c:v>6.3225828030409686E-2</c:v>
                </c:pt>
                <c:pt idx="7">
                  <c:v>-0.14401167089395275</c:v>
                </c:pt>
                <c:pt idx="8">
                  <c:v>-2.5968545312633675E-2</c:v>
                </c:pt>
                <c:pt idx="9">
                  <c:v>-1.8271565898660958E-2</c:v>
                </c:pt>
                <c:pt idx="10">
                  <c:v>-1.3837778973694058E-2</c:v>
                </c:pt>
                <c:pt idx="11">
                  <c:v>2.3564754859815077E-2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D-4869-9008-DB92662E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716496"/>
        <c:axId val="245716888"/>
      </c:barChart>
      <c:lineChart>
        <c:grouping val="standard"/>
        <c:varyColors val="0"/>
        <c:ser>
          <c:idx val="1"/>
          <c:order val="1"/>
          <c:tx>
            <c:strRef>
              <c:f>'E2'!$R$2</c:f>
              <c:strCache>
                <c:ptCount val="1"/>
                <c:pt idx="0">
                  <c:v>C+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'E2'!$R$3:$R$14</c:f>
              <c:numCache>
                <c:formatCode>0.000</c:formatCode>
                <c:ptCount val="12"/>
                <c:pt idx="0">
                  <c:v>0.27718585822512659</c:v>
                </c:pt>
                <c:pt idx="1">
                  <c:v>0.27718585822512659</c:v>
                </c:pt>
                <c:pt idx="2">
                  <c:v>0.27718585822512659</c:v>
                </c:pt>
                <c:pt idx="3">
                  <c:v>0.27718585822512659</c:v>
                </c:pt>
                <c:pt idx="4">
                  <c:v>0.27718585822512659</c:v>
                </c:pt>
                <c:pt idx="5">
                  <c:v>0.27718585822512659</c:v>
                </c:pt>
                <c:pt idx="6">
                  <c:v>0.27718585822512659</c:v>
                </c:pt>
                <c:pt idx="7">
                  <c:v>0.27718585822512659</c:v>
                </c:pt>
                <c:pt idx="8">
                  <c:v>0.27718585822512659</c:v>
                </c:pt>
                <c:pt idx="9">
                  <c:v>0.27718585822512659</c:v>
                </c:pt>
                <c:pt idx="10">
                  <c:v>0.27718585822512659</c:v>
                </c:pt>
                <c:pt idx="11">
                  <c:v>0.27718585822512659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D-4869-9008-DB92662E85DB}"/>
            </c:ext>
          </c:extLst>
        </c:ser>
        <c:ser>
          <c:idx val="2"/>
          <c:order val="2"/>
          <c:tx>
            <c:strRef>
              <c:f>'E2'!$S$2</c:f>
              <c:strCache>
                <c:ptCount val="1"/>
                <c:pt idx="0">
                  <c:v>C-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'E2'!$S$3:$S$14</c:f>
              <c:numCache>
                <c:formatCode>0.000</c:formatCode>
                <c:ptCount val="12"/>
                <c:pt idx="0">
                  <c:v>-0.27718585822512659</c:v>
                </c:pt>
                <c:pt idx="1">
                  <c:v>-0.27718585822512659</c:v>
                </c:pt>
                <c:pt idx="2">
                  <c:v>-0.27718585822512659</c:v>
                </c:pt>
                <c:pt idx="3">
                  <c:v>-0.27718585822512659</c:v>
                </c:pt>
                <c:pt idx="4">
                  <c:v>-0.27718585822512659</c:v>
                </c:pt>
                <c:pt idx="5">
                  <c:v>-0.27718585822512659</c:v>
                </c:pt>
                <c:pt idx="6">
                  <c:v>-0.27718585822512659</c:v>
                </c:pt>
                <c:pt idx="7">
                  <c:v>-0.27718585822512659</c:v>
                </c:pt>
                <c:pt idx="8">
                  <c:v>-0.27718585822512659</c:v>
                </c:pt>
                <c:pt idx="9">
                  <c:v>-0.27718585822512659</c:v>
                </c:pt>
                <c:pt idx="10">
                  <c:v>-0.27718585822512659</c:v>
                </c:pt>
                <c:pt idx="11">
                  <c:v>-0.27718585822512659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DD-4869-9008-DB92662E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16496"/>
        <c:axId val="245716888"/>
      </c:lineChart>
      <c:catAx>
        <c:axId val="24571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16888"/>
        <c:crosses val="autoZero"/>
        <c:auto val="1"/>
        <c:lblAlgn val="ctr"/>
        <c:lblOffset val="100"/>
        <c:noMultiLvlLbl val="0"/>
      </c:catAx>
      <c:valAx>
        <c:axId val="245716888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1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</xdr:colOff>
      <xdr:row>17</xdr:row>
      <xdr:rowOff>190499</xdr:rowOff>
    </xdr:from>
    <xdr:to>
      <xdr:col>26</xdr:col>
      <xdr:colOff>350520</xdr:colOff>
      <xdr:row>32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D98674-2239-4BBA-A271-60D8BEA8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579966</xdr:colOff>
      <xdr:row>1</xdr:row>
      <xdr:rowOff>14817</xdr:rowOff>
    </xdr:from>
    <xdr:to>
      <xdr:col>26</xdr:col>
      <xdr:colOff>274108</xdr:colOff>
      <xdr:row>16</xdr:row>
      <xdr:rowOff>14817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B3E406-8095-452F-A0A5-AEF01BB95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</xdr:colOff>
      <xdr:row>18</xdr:row>
      <xdr:rowOff>170815</xdr:rowOff>
    </xdr:from>
    <xdr:to>
      <xdr:col>10</xdr:col>
      <xdr:colOff>365125</xdr:colOff>
      <xdr:row>33</xdr:row>
      <xdr:rowOff>151765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6C4502-B003-4FDC-BBF2-E257D4228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2"/>
  <sheetViews>
    <sheetView zoomScale="90" zoomScaleNormal="90" workbookViewId="0">
      <selection activeCell="A2" sqref="A2"/>
    </sheetView>
  </sheetViews>
  <sheetFormatPr defaultColWidth="8.85546875" defaultRowHeight="15" x14ac:dyDescent="0.25"/>
  <cols>
    <col min="1" max="1" width="10.5703125" style="14" customWidth="1"/>
    <col min="2" max="2" width="16.42578125" style="14" customWidth="1"/>
    <col min="3" max="3" width="14.42578125" style="14" customWidth="1"/>
    <col min="4" max="4" width="14" style="14" customWidth="1"/>
    <col min="5" max="5" width="11.7109375" style="14" customWidth="1"/>
    <col min="6" max="10" width="8.85546875" style="14"/>
    <col min="11" max="11" width="10.5703125" style="14" customWidth="1"/>
    <col min="12" max="17" width="8.85546875" style="14"/>
    <col min="18" max="18" width="11.42578125" style="14" customWidth="1"/>
    <col min="19" max="20" width="8.85546875" style="14"/>
    <col min="21" max="21" width="8.85546875" style="14" customWidth="1"/>
    <col min="22" max="16384" width="8.85546875" style="14"/>
  </cols>
  <sheetData>
    <row r="1" spans="1:21" x14ac:dyDescent="0.25">
      <c r="A1" s="1" t="s">
        <v>90</v>
      </c>
      <c r="B1" s="15"/>
      <c r="C1" s="32" t="s">
        <v>38</v>
      </c>
      <c r="D1" s="32" t="s">
        <v>36</v>
      </c>
      <c r="E1" s="32" t="s">
        <v>34</v>
      </c>
      <c r="K1" s="40" t="s">
        <v>67</v>
      </c>
    </row>
    <row r="2" spans="1:21" x14ac:dyDescent="0.25">
      <c r="B2" s="33" t="s">
        <v>35</v>
      </c>
      <c r="C2" s="33" t="s">
        <v>39</v>
      </c>
      <c r="D2" s="32" t="s">
        <v>40</v>
      </c>
      <c r="E2" s="33" t="s">
        <v>37</v>
      </c>
      <c r="F2" s="34" t="s">
        <v>66</v>
      </c>
      <c r="G2" s="34" t="s">
        <v>42</v>
      </c>
      <c r="H2" s="34" t="s">
        <v>41</v>
      </c>
      <c r="I2" s="16"/>
      <c r="J2" s="40" t="s">
        <v>46</v>
      </c>
      <c r="K2" s="40" t="s">
        <v>66</v>
      </c>
      <c r="L2" s="34" t="s">
        <v>42</v>
      </c>
      <c r="M2" s="34" t="s">
        <v>41</v>
      </c>
      <c r="T2" s="17"/>
      <c r="U2" s="17"/>
    </row>
    <row r="3" spans="1:21" x14ac:dyDescent="0.25">
      <c r="B3" s="37" t="s">
        <v>0</v>
      </c>
      <c r="C3" s="37">
        <v>5300</v>
      </c>
      <c r="D3" s="38">
        <f>C3-AVERAGE($C$3:$C$52)</f>
        <v>-411.80000000000018</v>
      </c>
      <c r="E3" s="36">
        <f>SUMPRODUCT($D$3:INDEX($D$3:$D$52,ROWS(D4:D$52)),$D4:D$52)/DEVSQ($D$3:$D$52)</f>
        <v>0.87973577164154104</v>
      </c>
      <c r="F3" s="35">
        <f>1/SQRT(COUNT($C$3:$C$52))</f>
        <v>0.1414213562373095</v>
      </c>
      <c r="G3" s="35">
        <f>1.96*F3</f>
        <v>0.27718585822512665</v>
      </c>
      <c r="H3" s="35">
        <f>-1.96*F3</f>
        <v>-0.27718585822512665</v>
      </c>
      <c r="J3" s="39">
        <v>1</v>
      </c>
      <c r="K3" s="35">
        <f>SQRT(1/COUNT($C$3:$C$52)*((COUNT($C$3:$C$52)-J3)/(COUNT($C$3:$C$52)+2)))</f>
        <v>0.13728129459672883</v>
      </c>
      <c r="L3" s="35">
        <f>1.96*K3</f>
        <v>0.2690713374095885</v>
      </c>
      <c r="M3" s="35">
        <f>-1.96*K3</f>
        <v>-0.2690713374095885</v>
      </c>
      <c r="S3" s="18"/>
    </row>
    <row r="4" spans="1:21" x14ac:dyDescent="0.25">
      <c r="B4" s="37" t="s">
        <v>1</v>
      </c>
      <c r="C4" s="37">
        <v>4970</v>
      </c>
      <c r="D4" s="38">
        <f t="shared" ref="D4:D52" si="0">C4-AVERAGE($C$3:$C$52)</f>
        <v>-741.80000000000018</v>
      </c>
      <c r="E4" s="36">
        <f>SUMPRODUCT($D$3:INDEX($D$3:$D$52,ROWS(D5:D$52)),$D5:D$52)/DEVSQ($D$3:$D$52)</f>
        <v>0.82474725029984386</v>
      </c>
      <c r="F4" s="35">
        <f t="shared" ref="F4:F18" si="1">1/SQRT(COUNT($C$3:$C$52))</f>
        <v>0.1414213562373095</v>
      </c>
      <c r="G4" s="35">
        <f t="shared" ref="G4:G12" si="2">1.96*F4</f>
        <v>0.27718585822512665</v>
      </c>
      <c r="H4" s="35">
        <f t="shared" ref="H4:H12" si="3">-1.96*F4</f>
        <v>-0.27718585822512665</v>
      </c>
      <c r="J4" s="39">
        <v>2</v>
      </c>
      <c r="K4" s="35">
        <f t="shared" ref="K4:K18" si="4">SQRT(1/COUNT($C$3:$C$52)*((COUNT($C$3:$C$52)-J4)/(COUNT($C$3:$C$52)+2)))</f>
        <v>0.13587324409735149</v>
      </c>
      <c r="L4" s="35">
        <f t="shared" ref="L4:L12" si="5">1.96*K4</f>
        <v>0.26631155843080889</v>
      </c>
      <c r="M4" s="35">
        <f t="shared" ref="M4:M12" si="6">-1.96*K4</f>
        <v>-0.26631155843080889</v>
      </c>
      <c r="S4" s="18"/>
    </row>
    <row r="5" spans="1:21" x14ac:dyDescent="0.25">
      <c r="B5" s="37" t="s">
        <v>2</v>
      </c>
      <c r="C5" s="37">
        <v>4970</v>
      </c>
      <c r="D5" s="38">
        <f t="shared" si="0"/>
        <v>-741.80000000000018</v>
      </c>
      <c r="E5" s="36">
        <f>SUMPRODUCT($D$3:INDEX($D$3:$D$52,ROWS(D6:D$52)),$D6:D$52)/DEVSQ($D$3:$D$52)</f>
        <v>0.74918187224650046</v>
      </c>
      <c r="F5" s="35">
        <f t="shared" si="1"/>
        <v>0.1414213562373095</v>
      </c>
      <c r="G5" s="35">
        <f t="shared" si="2"/>
        <v>0.27718585822512665</v>
      </c>
      <c r="H5" s="35">
        <f t="shared" si="3"/>
        <v>-0.27718585822512665</v>
      </c>
      <c r="J5" s="39">
        <v>3</v>
      </c>
      <c r="K5" s="35">
        <f t="shared" si="4"/>
        <v>0.13445044840729642</v>
      </c>
      <c r="L5" s="35">
        <f t="shared" si="5"/>
        <v>0.263522878878301</v>
      </c>
      <c r="M5" s="35">
        <f t="shared" si="6"/>
        <v>-0.263522878878301</v>
      </c>
      <c r="S5" s="18"/>
    </row>
    <row r="6" spans="1:21" x14ac:dyDescent="0.25">
      <c r="B6" s="37" t="s">
        <v>3</v>
      </c>
      <c r="C6" s="37">
        <v>5020</v>
      </c>
      <c r="D6" s="38">
        <f t="shared" si="0"/>
        <v>-691.80000000000018</v>
      </c>
      <c r="E6" s="36">
        <f>SUMPRODUCT($D$3:INDEX($D$3:$D$52,ROWS(D7:D$52)),$D7:D$52)/DEVSQ($D$3:$D$52)</f>
        <v>0.69910032602886274</v>
      </c>
      <c r="F6" s="35">
        <f t="shared" si="1"/>
        <v>0.1414213562373095</v>
      </c>
      <c r="G6" s="35">
        <f t="shared" si="2"/>
        <v>0.27718585822512665</v>
      </c>
      <c r="H6" s="35">
        <f t="shared" si="3"/>
        <v>-0.27718585822512665</v>
      </c>
      <c r="J6" s="39">
        <v>4</v>
      </c>
      <c r="K6" s="35">
        <f t="shared" si="4"/>
        <v>0.13301243435223525</v>
      </c>
      <c r="L6" s="35">
        <f t="shared" si="5"/>
        <v>0.2607043713303811</v>
      </c>
      <c r="M6" s="35">
        <f t="shared" si="6"/>
        <v>-0.2607043713303811</v>
      </c>
      <c r="S6" s="18"/>
    </row>
    <row r="7" spans="1:21" x14ac:dyDescent="0.25">
      <c r="B7" s="37" t="s">
        <v>4</v>
      </c>
      <c r="C7" s="37">
        <v>4980</v>
      </c>
      <c r="D7" s="38">
        <f t="shared" si="0"/>
        <v>-731.80000000000018</v>
      </c>
      <c r="E7" s="36">
        <f>SUMPRODUCT($D$3:INDEX($D$3:$D$52,ROWS(D8:D$52)),$D8:D$52)/DEVSQ($D$3:$D$52)</f>
        <v>0.6365992346485212</v>
      </c>
      <c r="F7" s="35">
        <f t="shared" si="1"/>
        <v>0.1414213562373095</v>
      </c>
      <c r="G7" s="35">
        <f t="shared" si="2"/>
        <v>0.27718585822512665</v>
      </c>
      <c r="H7" s="35">
        <f t="shared" si="3"/>
        <v>-0.27718585822512665</v>
      </c>
      <c r="J7" s="39">
        <v>5</v>
      </c>
      <c r="K7" s="35">
        <f t="shared" si="4"/>
        <v>0.1315587028960544</v>
      </c>
      <c r="L7" s="35">
        <f t="shared" si="5"/>
        <v>0.2578550576762666</v>
      </c>
      <c r="M7" s="35">
        <f t="shared" si="6"/>
        <v>-0.2578550576762666</v>
      </c>
      <c r="S7" s="18"/>
    </row>
    <row r="8" spans="1:21" x14ac:dyDescent="0.25">
      <c r="B8" s="37" t="s">
        <v>5</v>
      </c>
      <c r="C8" s="37">
        <v>5020</v>
      </c>
      <c r="D8" s="38">
        <f t="shared" si="0"/>
        <v>-691.80000000000018</v>
      </c>
      <c r="E8" s="36">
        <f>SUMPRODUCT($D$3:INDEX($D$3:$D$52,ROWS(D9:D$52)),$D9:D$52)/DEVSQ($D$3:$D$52)</f>
        <v>0.56673270447948676</v>
      </c>
      <c r="F8" s="35">
        <f t="shared" si="1"/>
        <v>0.1414213562373095</v>
      </c>
      <c r="G8" s="35">
        <f t="shared" si="2"/>
        <v>0.27718585822512665</v>
      </c>
      <c r="H8" s="35">
        <f t="shared" si="3"/>
        <v>-0.27718585822512665</v>
      </c>
      <c r="J8" s="39">
        <v>6</v>
      </c>
      <c r="K8" s="35">
        <f t="shared" si="4"/>
        <v>0.13008872711759817</v>
      </c>
      <c r="L8" s="35">
        <f t="shared" si="5"/>
        <v>0.2549739051504924</v>
      </c>
      <c r="M8" s="35">
        <f t="shared" si="6"/>
        <v>-0.2549739051504924</v>
      </c>
      <c r="S8" s="18"/>
    </row>
    <row r="9" spans="1:21" x14ac:dyDescent="0.25">
      <c r="B9" s="37" t="s">
        <v>6</v>
      </c>
      <c r="C9" s="37">
        <v>5130</v>
      </c>
      <c r="D9" s="38">
        <f t="shared" si="0"/>
        <v>-581.80000000000018</v>
      </c>
      <c r="E9" s="36">
        <f>SUMPRODUCT($D$3:INDEX($D$3:$D$52,ROWS(D10:D$52)),$D10:D$52)/DEVSQ($D$3:$D$52)</f>
        <v>0.52245060411230415</v>
      </c>
      <c r="F9" s="35">
        <f t="shared" si="1"/>
        <v>0.1414213562373095</v>
      </c>
      <c r="G9" s="35">
        <f t="shared" si="2"/>
        <v>0.27718585822512665</v>
      </c>
      <c r="H9" s="35">
        <f t="shared" si="3"/>
        <v>-0.27718585822512665</v>
      </c>
      <c r="J9" s="39">
        <v>7</v>
      </c>
      <c r="K9" s="35">
        <f t="shared" si="4"/>
        <v>0.12860194997923452</v>
      </c>
      <c r="L9" s="35">
        <f t="shared" si="5"/>
        <v>0.25205982195929966</v>
      </c>
      <c r="M9" s="35">
        <f t="shared" si="6"/>
        <v>-0.25205982195929966</v>
      </c>
      <c r="S9" s="18"/>
    </row>
    <row r="10" spans="1:21" x14ac:dyDescent="0.25">
      <c r="B10" s="37" t="s">
        <v>7</v>
      </c>
      <c r="C10" s="37">
        <v>5130</v>
      </c>
      <c r="D10" s="38">
        <f t="shared" si="0"/>
        <v>-581.80000000000018</v>
      </c>
      <c r="E10" s="36">
        <f>SUMPRODUCT($D$3:INDEX($D$3:$D$52,ROWS(D11:D$52)),$D11:D$52)/DEVSQ($D$3:$D$52)</f>
        <v>0.4431512662567248</v>
      </c>
      <c r="F10" s="35">
        <f t="shared" si="1"/>
        <v>0.1414213562373095</v>
      </c>
      <c r="G10" s="35">
        <f t="shared" si="2"/>
        <v>0.27718585822512665</v>
      </c>
      <c r="H10" s="35">
        <f t="shared" si="3"/>
        <v>-0.27718585822512665</v>
      </c>
      <c r="J10" s="39">
        <v>8</v>
      </c>
      <c r="K10" s="35">
        <f t="shared" si="4"/>
        <v>0.12709778186044851</v>
      </c>
      <c r="L10" s="35">
        <f t="shared" si="5"/>
        <v>0.24911165244647906</v>
      </c>
      <c r="M10" s="35">
        <f t="shared" si="6"/>
        <v>-0.24911165244647906</v>
      </c>
      <c r="S10" s="18"/>
    </row>
    <row r="11" spans="1:21" x14ac:dyDescent="0.25">
      <c r="B11" s="37" t="s">
        <v>8</v>
      </c>
      <c r="C11" s="37">
        <v>5250</v>
      </c>
      <c r="D11" s="38">
        <f t="shared" si="0"/>
        <v>-461.80000000000018</v>
      </c>
      <c r="E11" s="36">
        <f>SUMPRODUCT($D$3:INDEX($D$3:$D$52,ROWS(D12:D$52)),$D12:D$52)/DEVSQ($D$3:$D$52)</f>
        <v>0.38617768344402187</v>
      </c>
      <c r="F11" s="35">
        <f t="shared" si="1"/>
        <v>0.1414213562373095</v>
      </c>
      <c r="G11" s="35">
        <f t="shared" si="2"/>
        <v>0.27718585822512665</v>
      </c>
      <c r="H11" s="35">
        <f t="shared" si="3"/>
        <v>-0.27718585822512665</v>
      </c>
      <c r="J11" s="39">
        <v>9</v>
      </c>
      <c r="K11" s="35">
        <f t="shared" si="4"/>
        <v>0.12557559782549621</v>
      </c>
      <c r="L11" s="35">
        <f t="shared" si="5"/>
        <v>0.24612817173797258</v>
      </c>
      <c r="M11" s="35">
        <f t="shared" si="6"/>
        <v>-0.24612817173797258</v>
      </c>
      <c r="S11" s="18"/>
    </row>
    <row r="12" spans="1:21" x14ac:dyDescent="0.25">
      <c r="B12" s="37" t="s">
        <v>9</v>
      </c>
      <c r="C12" s="37">
        <v>5150</v>
      </c>
      <c r="D12" s="38">
        <f t="shared" si="0"/>
        <v>-561.80000000000018</v>
      </c>
      <c r="E12" s="36">
        <f>SUMPRODUCT($D$3:INDEX($D$3:$D$52,ROWS(D13:D$52)),$D13:D$52)/DEVSQ($D$3:$D$52)</f>
        <v>0.32168749591488821</v>
      </c>
      <c r="F12" s="35">
        <f t="shared" si="1"/>
        <v>0.1414213562373095</v>
      </c>
      <c r="G12" s="35">
        <f t="shared" si="2"/>
        <v>0.27718585822512665</v>
      </c>
      <c r="H12" s="35">
        <f t="shared" si="3"/>
        <v>-0.27718585822512665</v>
      </c>
      <c r="J12" s="39">
        <v>10</v>
      </c>
      <c r="K12" s="35">
        <f t="shared" si="4"/>
        <v>0.12403473458920845</v>
      </c>
      <c r="L12" s="35">
        <f t="shared" si="5"/>
        <v>0.24310807979484855</v>
      </c>
      <c r="M12" s="35">
        <f t="shared" si="6"/>
        <v>-0.24310807979484855</v>
      </c>
      <c r="S12" s="18"/>
    </row>
    <row r="13" spans="1:21" x14ac:dyDescent="0.25">
      <c r="B13" s="37" t="s">
        <v>10</v>
      </c>
      <c r="C13" s="37">
        <v>5420</v>
      </c>
      <c r="D13" s="38">
        <f t="shared" si="0"/>
        <v>-291.80000000000018</v>
      </c>
      <c r="E13" s="36">
        <f>SUMPRODUCT($D$3:INDEX($D$3:$D$52,ROWS(D14:D$52)),$D14:D$52)/DEVSQ($D$3:$D$52)</f>
        <v>0.27178159267022739</v>
      </c>
      <c r="F13" s="35">
        <f t="shared" si="1"/>
        <v>0.1414213562373095</v>
      </c>
      <c r="G13" s="35">
        <f t="shared" ref="G13:G18" si="7">1.96*F13</f>
        <v>0.27718585822512665</v>
      </c>
      <c r="H13" s="35">
        <f t="shared" ref="H13:H18" si="8">-1.96*F13</f>
        <v>-0.27718585822512665</v>
      </c>
      <c r="J13" s="39">
        <v>11</v>
      </c>
      <c r="K13" s="35">
        <f t="shared" si="4"/>
        <v>0.1224744871391589</v>
      </c>
      <c r="L13" s="35">
        <f t="shared" ref="L13:L18" si="9">1.96*K13</f>
        <v>0.24004999479275144</v>
      </c>
      <c r="M13" s="35">
        <f t="shared" ref="M13:M18" si="10">-1.96*K13</f>
        <v>-0.24004999479275144</v>
      </c>
      <c r="R13" s="18"/>
    </row>
    <row r="14" spans="1:21" x14ac:dyDescent="0.25">
      <c r="B14" s="37" t="s">
        <v>11</v>
      </c>
      <c r="C14" s="37">
        <v>5440</v>
      </c>
      <c r="D14" s="38">
        <f t="shared" si="0"/>
        <v>-271.80000000000018</v>
      </c>
      <c r="E14" s="36">
        <f>SUMPRODUCT($D$3:INDEX($D$3:$D$52,ROWS(D15:D$52)),$D15:D$52)/DEVSQ($D$3:$D$52)</f>
        <v>0.22981943203033836</v>
      </c>
      <c r="F14" s="35">
        <f t="shared" si="1"/>
        <v>0.1414213562373095</v>
      </c>
      <c r="G14" s="35">
        <f t="shared" si="7"/>
        <v>0.27718585822512665</v>
      </c>
      <c r="H14" s="35">
        <f t="shared" si="8"/>
        <v>-0.27718585822512665</v>
      </c>
      <c r="J14" s="39">
        <v>12</v>
      </c>
      <c r="K14" s="35">
        <f t="shared" si="4"/>
        <v>0.12089410496539778</v>
      </c>
      <c r="L14" s="35">
        <f t="shared" si="9"/>
        <v>0.23695244573217963</v>
      </c>
      <c r="M14" s="35">
        <f t="shared" si="10"/>
        <v>-0.23695244573217963</v>
      </c>
      <c r="R14" s="18"/>
    </row>
    <row r="15" spans="1:21" x14ac:dyDescent="0.25">
      <c r="B15" s="37" t="s">
        <v>12</v>
      </c>
      <c r="C15" s="37">
        <v>5640</v>
      </c>
      <c r="D15" s="38">
        <f t="shared" si="0"/>
        <v>-71.800000000000182</v>
      </c>
      <c r="E15" s="36">
        <f>SUMPRODUCT($D$3:INDEX($D$3:$D$52,ROWS(D16:D$52)),$D16:D$52)/DEVSQ($D$3:$D$52)</f>
        <v>0.20843762482284375</v>
      </c>
      <c r="F15" s="35">
        <f t="shared" si="1"/>
        <v>0.1414213562373095</v>
      </c>
      <c r="G15" s="35">
        <f t="shared" si="7"/>
        <v>0.27718585822512665</v>
      </c>
      <c r="H15" s="35">
        <f t="shared" si="8"/>
        <v>-0.27718585822512665</v>
      </c>
      <c r="J15" s="39">
        <v>13</v>
      </c>
      <c r="K15" s="35">
        <f t="shared" si="4"/>
        <v>0.11929278784054478</v>
      </c>
      <c r="L15" s="35">
        <f t="shared" si="9"/>
        <v>0.23381386416746777</v>
      </c>
      <c r="M15" s="35">
        <f t="shared" si="10"/>
        <v>-0.23381386416746777</v>
      </c>
      <c r="R15" s="18"/>
    </row>
    <row r="16" spans="1:21" x14ac:dyDescent="0.25">
      <c r="B16" s="37" t="s">
        <v>13</v>
      </c>
      <c r="C16" s="37">
        <v>5470</v>
      </c>
      <c r="D16" s="38">
        <f t="shared" si="0"/>
        <v>-241.80000000000018</v>
      </c>
      <c r="E16" s="36">
        <f>SUMPRODUCT($D$3:INDEX($D$3:$D$52,ROWS(D17:D$52)),$D17:D$52)/DEVSQ($D$3:$D$52)</f>
        <v>0.17813568298622073</v>
      </c>
      <c r="F16" s="35">
        <f t="shared" si="1"/>
        <v>0.1414213562373095</v>
      </c>
      <c r="G16" s="35">
        <f t="shared" si="7"/>
        <v>0.27718585822512665</v>
      </c>
      <c r="H16" s="35">
        <f t="shared" si="8"/>
        <v>-0.27718585822512665</v>
      </c>
      <c r="J16" s="39">
        <v>14</v>
      </c>
      <c r="K16" s="35">
        <f t="shared" si="4"/>
        <v>0.11766968108291043</v>
      </c>
      <c r="L16" s="35">
        <f t="shared" si="9"/>
        <v>0.23063257492250444</v>
      </c>
      <c r="M16" s="35">
        <f t="shared" si="10"/>
        <v>-0.23063257492250444</v>
      </c>
      <c r="R16" s="18"/>
    </row>
    <row r="17" spans="2:18" x14ac:dyDescent="0.25">
      <c r="B17" s="37" t="s">
        <v>14</v>
      </c>
      <c r="C17" s="37">
        <v>5810</v>
      </c>
      <c r="D17" s="38">
        <f t="shared" si="0"/>
        <v>98.199999999999818</v>
      </c>
      <c r="E17" s="36">
        <f>SUMPRODUCT($D$3:INDEX($D$3:$D$52,ROWS(D18:D$52)),$D18:D$52)/DEVSQ($D$3:$D$52)</f>
        <v>0.13909678089198099</v>
      </c>
      <c r="F17" s="35">
        <f t="shared" si="1"/>
        <v>0.1414213562373095</v>
      </c>
      <c r="G17" s="35">
        <f t="shared" si="7"/>
        <v>0.27718585822512665</v>
      </c>
      <c r="H17" s="35">
        <f t="shared" si="8"/>
        <v>-0.27718585822512665</v>
      </c>
      <c r="J17" s="39">
        <v>15</v>
      </c>
      <c r="K17" s="35">
        <f t="shared" si="4"/>
        <v>0.11602387022306428</v>
      </c>
      <c r="L17" s="35">
        <f t="shared" si="9"/>
        <v>0.22740678563720598</v>
      </c>
      <c r="M17" s="35">
        <f t="shared" si="10"/>
        <v>-0.22740678563720598</v>
      </c>
      <c r="R17" s="18"/>
    </row>
    <row r="18" spans="2:18" x14ac:dyDescent="0.25">
      <c r="B18" s="37" t="s">
        <v>15</v>
      </c>
      <c r="C18" s="37">
        <v>5530</v>
      </c>
      <c r="D18" s="38">
        <f t="shared" si="0"/>
        <v>-181.80000000000018</v>
      </c>
      <c r="E18" s="36">
        <f>SUMPRODUCT($D$3:INDEX($D$3:$D$52,ROWS(D19:D$52)),$D19:D$52)/DEVSQ($D$3:$D$52)</f>
        <v>9.0527969865798391E-2</v>
      </c>
      <c r="F18" s="35">
        <f t="shared" si="1"/>
        <v>0.1414213562373095</v>
      </c>
      <c r="G18" s="35">
        <f t="shared" si="7"/>
        <v>0.27718585822512665</v>
      </c>
      <c r="H18" s="35">
        <f t="shared" si="8"/>
        <v>-0.27718585822512665</v>
      </c>
      <c r="J18" s="39">
        <v>16</v>
      </c>
      <c r="K18" s="35">
        <f t="shared" si="4"/>
        <v>0.11435437497937312</v>
      </c>
      <c r="L18" s="35">
        <f t="shared" si="9"/>
        <v>0.22413457495957131</v>
      </c>
      <c r="M18" s="35">
        <f t="shared" si="10"/>
        <v>-0.22413457495957131</v>
      </c>
      <c r="R18" s="18"/>
    </row>
    <row r="19" spans="2:18" x14ac:dyDescent="0.25">
      <c r="B19" s="37" t="s">
        <v>16</v>
      </c>
      <c r="C19" s="37">
        <v>5380</v>
      </c>
      <c r="D19" s="38">
        <f t="shared" si="0"/>
        <v>-331.80000000000018</v>
      </c>
      <c r="E19" s="19"/>
      <c r="R19" s="18"/>
    </row>
    <row r="20" spans="2:18" x14ac:dyDescent="0.25">
      <c r="B20" s="37" t="s">
        <v>17</v>
      </c>
      <c r="C20" s="37">
        <v>5490</v>
      </c>
      <c r="D20" s="38">
        <f t="shared" si="0"/>
        <v>-221.80000000000018</v>
      </c>
      <c r="E20" s="19"/>
      <c r="R20" s="18"/>
    </row>
    <row r="21" spans="2:18" x14ac:dyDescent="0.25">
      <c r="B21" s="37" t="s">
        <v>18</v>
      </c>
      <c r="C21" s="37">
        <v>5510</v>
      </c>
      <c r="D21" s="38">
        <f t="shared" si="0"/>
        <v>-201.80000000000018</v>
      </c>
      <c r="E21" s="19"/>
      <c r="R21" s="18"/>
    </row>
    <row r="22" spans="2:18" x14ac:dyDescent="0.25">
      <c r="B22" s="37" t="s">
        <v>19</v>
      </c>
      <c r="C22" s="37">
        <v>5700</v>
      </c>
      <c r="D22" s="38">
        <f t="shared" si="0"/>
        <v>-11.800000000000182</v>
      </c>
      <c r="E22" s="19"/>
      <c r="R22" s="18"/>
    </row>
    <row r="23" spans="2:18" x14ac:dyDescent="0.25">
      <c r="B23" s="37" t="s">
        <v>20</v>
      </c>
      <c r="C23" s="37">
        <v>5480</v>
      </c>
      <c r="D23" s="38">
        <f t="shared" si="0"/>
        <v>-231.80000000000018</v>
      </c>
      <c r="E23" s="19"/>
      <c r="R23" s="18"/>
    </row>
    <row r="24" spans="2:18" x14ac:dyDescent="0.25">
      <c r="B24" s="37" t="s">
        <v>21</v>
      </c>
      <c r="C24" s="37">
        <v>5810</v>
      </c>
      <c r="D24" s="38">
        <f t="shared" si="0"/>
        <v>98.199999999999818</v>
      </c>
      <c r="E24" s="19"/>
      <c r="R24" s="18"/>
    </row>
    <row r="25" spans="2:18" x14ac:dyDescent="0.25">
      <c r="B25" s="37" t="s">
        <v>22</v>
      </c>
      <c r="C25" s="37">
        <v>5720</v>
      </c>
      <c r="D25" s="38">
        <f t="shared" si="0"/>
        <v>8.1999999999998181</v>
      </c>
      <c r="R25" s="18"/>
    </row>
    <row r="26" spans="2:18" x14ac:dyDescent="0.25">
      <c r="B26" s="37" t="s">
        <v>23</v>
      </c>
      <c r="C26" s="37">
        <v>5810</v>
      </c>
      <c r="D26" s="38">
        <f t="shared" si="0"/>
        <v>98.199999999999818</v>
      </c>
      <c r="R26" s="18"/>
    </row>
    <row r="27" spans="2:18" x14ac:dyDescent="0.25">
      <c r="B27" s="37" t="s">
        <v>24</v>
      </c>
      <c r="C27" s="37">
        <v>5900</v>
      </c>
      <c r="D27" s="38">
        <f t="shared" si="0"/>
        <v>188.19999999999982</v>
      </c>
      <c r="R27" s="18"/>
    </row>
    <row r="28" spans="2:18" x14ac:dyDescent="0.25">
      <c r="B28" s="37" t="s">
        <v>25</v>
      </c>
      <c r="C28" s="37">
        <v>5610</v>
      </c>
      <c r="D28" s="38">
        <f t="shared" si="0"/>
        <v>-101.80000000000018</v>
      </c>
      <c r="R28" s="18"/>
    </row>
    <row r="29" spans="2:18" x14ac:dyDescent="0.25">
      <c r="B29" s="37" t="s">
        <v>26</v>
      </c>
      <c r="C29" s="37">
        <v>5940</v>
      </c>
      <c r="D29" s="38">
        <f t="shared" si="0"/>
        <v>228.19999999999982</v>
      </c>
    </row>
    <row r="30" spans="2:18" x14ac:dyDescent="0.25">
      <c r="B30" s="37" t="s">
        <v>27</v>
      </c>
      <c r="C30" s="37">
        <v>6150</v>
      </c>
      <c r="D30" s="38">
        <f t="shared" si="0"/>
        <v>438.19999999999982</v>
      </c>
    </row>
    <row r="31" spans="2:18" x14ac:dyDescent="0.25">
      <c r="B31" s="37" t="s">
        <v>28</v>
      </c>
      <c r="C31" s="37">
        <v>6170</v>
      </c>
      <c r="D31" s="38">
        <f t="shared" si="0"/>
        <v>458.19999999999982</v>
      </c>
    </row>
    <row r="32" spans="2:18" x14ac:dyDescent="0.25">
      <c r="B32" s="37" t="s">
        <v>29</v>
      </c>
      <c r="C32" s="37">
        <v>6080</v>
      </c>
      <c r="D32" s="38">
        <f t="shared" si="0"/>
        <v>368.19999999999982</v>
      </c>
    </row>
    <row r="33" spans="2:4" x14ac:dyDescent="0.25">
      <c r="B33" s="37" t="s">
        <v>30</v>
      </c>
      <c r="C33" s="37">
        <v>6020</v>
      </c>
      <c r="D33" s="38">
        <f t="shared" si="0"/>
        <v>308.19999999999982</v>
      </c>
    </row>
    <row r="34" spans="2:4" x14ac:dyDescent="0.25">
      <c r="B34" s="37" t="s">
        <v>31</v>
      </c>
      <c r="C34" s="37">
        <v>5950</v>
      </c>
      <c r="D34" s="38">
        <f t="shared" si="0"/>
        <v>238.19999999999982</v>
      </c>
    </row>
    <row r="35" spans="2:4" x14ac:dyDescent="0.25">
      <c r="B35" s="37" t="s">
        <v>32</v>
      </c>
      <c r="C35" s="37">
        <v>6080</v>
      </c>
      <c r="D35" s="38">
        <f t="shared" si="0"/>
        <v>368.19999999999982</v>
      </c>
    </row>
    <row r="36" spans="2:4" x14ac:dyDescent="0.25">
      <c r="B36" s="37" t="s">
        <v>33</v>
      </c>
      <c r="C36" s="37">
        <v>6160</v>
      </c>
      <c r="D36" s="38">
        <f t="shared" si="0"/>
        <v>448.19999999999982</v>
      </c>
    </row>
    <row r="37" spans="2:4" x14ac:dyDescent="0.25">
      <c r="B37" s="37" t="s">
        <v>68</v>
      </c>
      <c r="C37" s="37">
        <v>6150</v>
      </c>
      <c r="D37" s="38">
        <f t="shared" si="0"/>
        <v>438.19999999999982</v>
      </c>
    </row>
    <row r="38" spans="2:4" x14ac:dyDescent="0.25">
      <c r="B38" s="37" t="s">
        <v>69</v>
      </c>
      <c r="C38" s="37">
        <v>6070</v>
      </c>
      <c r="D38" s="38">
        <f t="shared" si="0"/>
        <v>358.19999999999982</v>
      </c>
    </row>
    <row r="39" spans="2:4" x14ac:dyDescent="0.25">
      <c r="B39" s="37" t="s">
        <v>70</v>
      </c>
      <c r="C39" s="37">
        <v>5890</v>
      </c>
      <c r="D39" s="38">
        <f t="shared" si="0"/>
        <v>178.19999999999982</v>
      </c>
    </row>
    <row r="40" spans="2:4" x14ac:dyDescent="0.25">
      <c r="B40" s="37" t="s">
        <v>71</v>
      </c>
      <c r="C40" s="37">
        <v>6290</v>
      </c>
      <c r="D40" s="38">
        <f t="shared" si="0"/>
        <v>578.19999999999982</v>
      </c>
    </row>
    <row r="41" spans="2:4" x14ac:dyDescent="0.25">
      <c r="B41" s="37" t="s">
        <v>72</v>
      </c>
      <c r="C41" s="37">
        <v>5920</v>
      </c>
      <c r="D41" s="38">
        <f t="shared" si="0"/>
        <v>208.19999999999982</v>
      </c>
    </row>
    <row r="42" spans="2:4" x14ac:dyDescent="0.25">
      <c r="B42" s="37" t="s">
        <v>73</v>
      </c>
      <c r="C42" s="37">
        <v>6070</v>
      </c>
      <c r="D42" s="38">
        <f t="shared" si="0"/>
        <v>358.19999999999982</v>
      </c>
    </row>
    <row r="43" spans="2:4" x14ac:dyDescent="0.25">
      <c r="B43" s="37" t="s">
        <v>74</v>
      </c>
      <c r="C43" s="37">
        <v>6150</v>
      </c>
      <c r="D43" s="38">
        <f t="shared" si="0"/>
        <v>438.19999999999982</v>
      </c>
    </row>
    <row r="44" spans="2:4" x14ac:dyDescent="0.25">
      <c r="B44" s="37" t="s">
        <v>75</v>
      </c>
      <c r="C44" s="37">
        <v>6100</v>
      </c>
      <c r="D44" s="38">
        <f t="shared" si="0"/>
        <v>388.19999999999982</v>
      </c>
    </row>
    <row r="45" spans="2:4" x14ac:dyDescent="0.25">
      <c r="B45" s="37" t="s">
        <v>76</v>
      </c>
      <c r="C45" s="37">
        <v>5940</v>
      </c>
      <c r="D45" s="38">
        <f t="shared" si="0"/>
        <v>228.19999999999982</v>
      </c>
    </row>
    <row r="46" spans="2:4" x14ac:dyDescent="0.25">
      <c r="B46" s="37" t="s">
        <v>77</v>
      </c>
      <c r="C46" s="37">
        <v>5980</v>
      </c>
      <c r="D46" s="38">
        <f t="shared" si="0"/>
        <v>268.19999999999982</v>
      </c>
    </row>
    <row r="47" spans="2:4" x14ac:dyDescent="0.25">
      <c r="B47" s="37" t="s">
        <v>78</v>
      </c>
      <c r="C47" s="37">
        <v>5960</v>
      </c>
      <c r="D47" s="38">
        <f t="shared" si="0"/>
        <v>248.19999999999982</v>
      </c>
    </row>
    <row r="48" spans="2:4" x14ac:dyDescent="0.25">
      <c r="B48" s="37" t="s">
        <v>79</v>
      </c>
      <c r="C48" s="37">
        <v>5870</v>
      </c>
      <c r="D48" s="38">
        <f t="shared" si="0"/>
        <v>158.19999999999982</v>
      </c>
    </row>
    <row r="49" spans="2:4" x14ac:dyDescent="0.25">
      <c r="B49" s="37" t="s">
        <v>80</v>
      </c>
      <c r="C49" s="37">
        <v>5800</v>
      </c>
      <c r="D49" s="38">
        <f t="shared" si="0"/>
        <v>88.199999999999818</v>
      </c>
    </row>
    <row r="50" spans="2:4" x14ac:dyDescent="0.25">
      <c r="B50" s="37" t="s">
        <v>81</v>
      </c>
      <c r="C50" s="37">
        <v>6080</v>
      </c>
      <c r="D50" s="38">
        <f t="shared" si="0"/>
        <v>368.19999999999982</v>
      </c>
    </row>
    <row r="51" spans="2:4" x14ac:dyDescent="0.25">
      <c r="B51" s="37" t="s">
        <v>82</v>
      </c>
      <c r="C51" s="37">
        <v>6080</v>
      </c>
      <c r="D51" s="38">
        <f t="shared" si="0"/>
        <v>368.19999999999982</v>
      </c>
    </row>
    <row r="52" spans="2:4" x14ac:dyDescent="0.25">
      <c r="B52" s="37" t="s">
        <v>83</v>
      </c>
      <c r="C52" s="37">
        <v>6050</v>
      </c>
      <c r="D52" s="38">
        <f t="shared" si="0"/>
        <v>338.19999999999982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4"/>
  <sheetViews>
    <sheetView workbookViewId="0">
      <selection activeCell="A2" sqref="A2"/>
    </sheetView>
  </sheetViews>
  <sheetFormatPr defaultRowHeight="15" x14ac:dyDescent="0.25"/>
  <cols>
    <col min="1" max="1" width="13.85546875" customWidth="1"/>
    <col min="3" max="3" width="9" bestFit="1" customWidth="1"/>
  </cols>
  <sheetData>
    <row r="1" spans="1:19" x14ac:dyDescent="0.25">
      <c r="A1" s="13" t="s">
        <v>91</v>
      </c>
      <c r="B1" s="4" t="s">
        <v>43</v>
      </c>
      <c r="C1" s="4" t="s">
        <v>44</v>
      </c>
      <c r="D1" s="4" t="s">
        <v>45</v>
      </c>
      <c r="E1" s="6"/>
      <c r="F1" s="6"/>
      <c r="G1" s="6"/>
      <c r="H1" s="6"/>
      <c r="I1" s="3"/>
      <c r="J1" s="7"/>
      <c r="K1" s="2"/>
      <c r="L1" s="2"/>
      <c r="M1" s="2"/>
      <c r="N1" s="2"/>
      <c r="O1" s="2"/>
      <c r="P1" s="2"/>
    </row>
    <row r="2" spans="1:19" ht="18" x14ac:dyDescent="0.35">
      <c r="A2" s="13"/>
      <c r="B2" s="8" t="s">
        <v>46</v>
      </c>
      <c r="C2" s="8" t="s">
        <v>47</v>
      </c>
      <c r="D2" s="8" t="s">
        <v>48</v>
      </c>
      <c r="E2" s="8" t="s">
        <v>49</v>
      </c>
      <c r="F2" s="8" t="s">
        <v>50</v>
      </c>
      <c r="G2" s="8" t="s">
        <v>51</v>
      </c>
      <c r="H2" s="8" t="s">
        <v>52</v>
      </c>
      <c r="I2" s="8" t="s">
        <v>53</v>
      </c>
      <c r="J2" s="8" t="s">
        <v>54</v>
      </c>
      <c r="K2" s="8" t="s">
        <v>55</v>
      </c>
      <c r="L2" s="8" t="s">
        <v>65</v>
      </c>
      <c r="M2" s="8" t="s">
        <v>84</v>
      </c>
      <c r="N2" s="8" t="s">
        <v>85</v>
      </c>
      <c r="O2" s="8" t="s">
        <v>86</v>
      </c>
      <c r="P2" s="8" t="s">
        <v>87</v>
      </c>
      <c r="R2" s="2" t="s">
        <v>56</v>
      </c>
      <c r="S2" s="2" t="s">
        <v>57</v>
      </c>
    </row>
    <row r="3" spans="1:19" x14ac:dyDescent="0.25">
      <c r="A3" s="13"/>
      <c r="B3" s="11">
        <v>1</v>
      </c>
      <c r="C3" s="20">
        <f>'E1'!E3</f>
        <v>0.87973577164154104</v>
      </c>
      <c r="D3" s="5">
        <f>E3</f>
        <v>0.87973577164154104</v>
      </c>
      <c r="E3" s="9">
        <f>C3</f>
        <v>0.87973577164154104</v>
      </c>
      <c r="F3" s="5"/>
      <c r="G3" s="5"/>
      <c r="H3" s="5"/>
      <c r="I3" s="5"/>
      <c r="J3" s="10"/>
      <c r="K3" s="5"/>
      <c r="L3" s="5"/>
      <c r="M3" s="5"/>
      <c r="N3" s="5"/>
      <c r="O3" s="5"/>
      <c r="P3" s="5"/>
      <c r="R3" s="5">
        <f>1.96*1/SQRT(50)</f>
        <v>0.27718585822512659</v>
      </c>
      <c r="S3" s="5">
        <f>-1.96*1/SQRT(50)</f>
        <v>-0.27718585822512659</v>
      </c>
    </row>
    <row r="4" spans="1:19" x14ac:dyDescent="0.25">
      <c r="A4" s="13"/>
      <c r="B4" s="11">
        <v>2</v>
      </c>
      <c r="C4" s="20">
        <f>'E1'!E4</f>
        <v>0.82474725029984386</v>
      </c>
      <c r="D4" s="5">
        <f>F4</f>
        <v>0.22476822447716061</v>
      </c>
      <c r="E4" s="5">
        <f>E3-(E3*F4)</f>
        <v>0.68199912424062703</v>
      </c>
      <c r="F4" s="9">
        <f>(C4-(E3*C3))/(1-(E3*D3))</f>
        <v>0.22476822447716061</v>
      </c>
      <c r="G4" s="5"/>
      <c r="H4" s="5"/>
      <c r="I4" s="5"/>
      <c r="J4" s="10"/>
      <c r="K4" s="5"/>
      <c r="L4" s="5"/>
      <c r="M4" s="5"/>
      <c r="N4" s="5"/>
      <c r="O4" s="5"/>
      <c r="P4" s="5"/>
      <c r="R4" s="5">
        <f t="shared" ref="R4:R14" si="0">1.96*1/SQRT(50)</f>
        <v>0.27718585822512659</v>
      </c>
      <c r="S4" s="5">
        <f t="shared" ref="S4:S14" si="1">-1.96*1/SQRT(50)</f>
        <v>-0.27718585822512659</v>
      </c>
    </row>
    <row r="5" spans="1:19" x14ac:dyDescent="0.25">
      <c r="A5" s="13"/>
      <c r="B5" s="11">
        <v>3</v>
      </c>
      <c r="C5" s="20">
        <f>'E1'!E5</f>
        <v>0.74918187224650046</v>
      </c>
      <c r="D5" s="5">
        <f>G5</f>
        <v>-5.1395229430121217E-2</v>
      </c>
      <c r="E5" s="5">
        <f>E4-(F4*G5)</f>
        <v>0.69355113870623164</v>
      </c>
      <c r="F5" s="5">
        <f>F4-(E4*G5)</f>
        <v>0.25981972593864938</v>
      </c>
      <c r="G5" s="9">
        <f>(C5-(E4*C4+F4*C3))/(1-(E4*C3+F4*C4))</f>
        <v>-5.1395229430121217E-2</v>
      </c>
      <c r="H5" s="5"/>
      <c r="I5" s="5"/>
      <c r="J5" s="10"/>
      <c r="K5" s="5"/>
      <c r="L5" s="5"/>
      <c r="M5" s="5"/>
      <c r="N5" s="5"/>
      <c r="O5" s="5"/>
      <c r="P5" s="5"/>
      <c r="R5" s="5">
        <f t="shared" si="0"/>
        <v>0.27718585822512659</v>
      </c>
      <c r="S5" s="5">
        <f t="shared" si="1"/>
        <v>-0.27718585822512659</v>
      </c>
    </row>
    <row r="6" spans="1:19" x14ac:dyDescent="0.25">
      <c r="B6" s="11">
        <v>4</v>
      </c>
      <c r="C6" s="20">
        <f>'E1'!E6</f>
        <v>0.69910032602886274</v>
      </c>
      <c r="D6" s="10">
        <f>H6</f>
        <v>4.8734808361235622E-2</v>
      </c>
      <c r="E6" s="10">
        <f>E5-(G5*H6)</f>
        <v>0.69605587536319036</v>
      </c>
      <c r="F6" s="10">
        <f>F5-(F5*H6)</f>
        <v>0.24715746138656056</v>
      </c>
      <c r="G6" s="10">
        <f>G5-(E5*H6)</f>
        <v>-8.5195311263686152E-2</v>
      </c>
      <c r="H6" s="9">
        <f>(C6-(E5*C5+F5*C4+G5*C3))/(1-(E5*C3+F5*C4+G5*C5))</f>
        <v>4.8734808361235622E-2</v>
      </c>
      <c r="I6" s="5"/>
      <c r="J6" s="10"/>
      <c r="K6" s="5"/>
      <c r="L6" s="5"/>
      <c r="M6" s="5"/>
      <c r="N6" s="5"/>
      <c r="O6" s="5"/>
      <c r="P6" s="5"/>
      <c r="R6" s="5">
        <f t="shared" si="0"/>
        <v>0.27718585822512659</v>
      </c>
      <c r="S6" s="5">
        <f t="shared" si="1"/>
        <v>-0.27718585822512659</v>
      </c>
    </row>
    <row r="7" spans="1:19" x14ac:dyDescent="0.25">
      <c r="B7" s="11">
        <v>5</v>
      </c>
      <c r="C7" s="20">
        <f>'E1'!E7</f>
        <v>0.6365992346485212</v>
      </c>
      <c r="D7" s="10">
        <f>I7</f>
        <v>-3.6469316795223403E-2</v>
      </c>
      <c r="E7" s="10">
        <f>E6-(H6*I7)</f>
        <v>0.6978332005282708</v>
      </c>
      <c r="F7" s="10">
        <f>F6-(G6*I7)</f>
        <v>0.24405044659061753</v>
      </c>
      <c r="G7" s="10">
        <f>G6-(F6*I7)</f>
        <v>-7.6181647506076478E-2</v>
      </c>
      <c r="H7" s="5">
        <f>H6-(E6*I7)</f>
        <v>7.4119490587032349E-2</v>
      </c>
      <c r="I7" s="9">
        <f>(C7-(E6*C6+F6*C5+G6*C4+H6*C3))/(1-(E6*C3+F6*C4+G6*C5+H6*C6))</f>
        <v>-3.6469316795223403E-2</v>
      </c>
      <c r="J7" s="10"/>
      <c r="K7" s="5"/>
      <c r="L7" s="5"/>
      <c r="M7" s="5"/>
      <c r="N7" s="5"/>
      <c r="O7" s="5"/>
      <c r="P7" s="5"/>
      <c r="R7" s="5">
        <f t="shared" si="0"/>
        <v>0.27718585822512659</v>
      </c>
      <c r="S7" s="5">
        <f t="shared" si="1"/>
        <v>-0.27718585822512659</v>
      </c>
    </row>
    <row r="8" spans="1:19" x14ac:dyDescent="0.25">
      <c r="B8" s="11">
        <v>6</v>
      </c>
      <c r="C8" s="20">
        <f>'E1'!E8</f>
        <v>0.56673270447948676</v>
      </c>
      <c r="D8" s="10">
        <f>J8</f>
        <v>-9.4220140472369915E-2</v>
      </c>
      <c r="E8" s="10">
        <f>E7-(I7*J8)</f>
        <v>0.69439705637689353</v>
      </c>
      <c r="F8" s="10">
        <f>F7-(H7*J8)</f>
        <v>0.25103399540546822</v>
      </c>
      <c r="G8" s="10">
        <f>G7-(G7*J8)</f>
        <v>-8.3359493035515569E-2</v>
      </c>
      <c r="H8" s="5">
        <f>H7-(F7*J8)</f>
        <v>9.7113957947144947E-2</v>
      </c>
      <c r="I8" s="5">
        <f>I7-(E7*J8)</f>
        <v>2.9280625384833753E-2</v>
      </c>
      <c r="J8" s="12">
        <f>(C8-(E7*C7+F7*C6+G7*C5+H7*C4+I7*C3))/(1-(E7*C3+F7*C4+G7*C5+H7*C6+I7*C7))</f>
        <v>-9.4220140472369915E-2</v>
      </c>
      <c r="K8" s="5"/>
      <c r="L8" s="5"/>
      <c r="M8" s="5"/>
      <c r="N8" s="5"/>
      <c r="O8" s="5"/>
      <c r="P8" s="5"/>
      <c r="R8" s="5">
        <f t="shared" si="0"/>
        <v>0.27718585822512659</v>
      </c>
      <c r="S8" s="5">
        <f t="shared" si="1"/>
        <v>-0.27718585822512659</v>
      </c>
    </row>
    <row r="9" spans="1:19" x14ac:dyDescent="0.25">
      <c r="B9" s="11">
        <v>7</v>
      </c>
      <c r="C9" s="20">
        <f>'E1'!E9</f>
        <v>0.52245060411230415</v>
      </c>
      <c r="D9" s="10">
        <f>K9</f>
        <v>6.3225828030409686E-2</v>
      </c>
      <c r="E9" s="10">
        <f>E8-(J8*K9)</f>
        <v>0.70035420277540061</v>
      </c>
      <c r="F9" s="10">
        <f>F8-(I8*K9)</f>
        <v>0.24918270362026387</v>
      </c>
      <c r="G9" s="10">
        <f>G8-(H8*K9)</f>
        <v>-8.9499603440034187E-2</v>
      </c>
      <c r="H9" s="5">
        <f>H8-(G8*K9)</f>
        <v>0.10238443091851059</v>
      </c>
      <c r="I9" s="5">
        <f>I8-(F8*K9)</f>
        <v>1.3408793161540963E-2</v>
      </c>
      <c r="J9" s="5">
        <f>J8-(E8*K9)</f>
        <v>-0.1381239693436781</v>
      </c>
      <c r="K9" s="9">
        <f>(C9-(E8*C8+F8*C7+G8*C6+H8*C5+I8*C4+J8*C3))/(1-(E8*C3+F8*C4+G8*C5+H8*C6+I8*C7+J8*C8))</f>
        <v>6.3225828030409686E-2</v>
      </c>
      <c r="L9" s="5"/>
      <c r="M9" s="5"/>
      <c r="N9" s="5"/>
      <c r="O9" s="5"/>
      <c r="P9" s="5"/>
      <c r="R9" s="5">
        <f t="shared" si="0"/>
        <v>0.27718585822512659</v>
      </c>
      <c r="S9" s="5">
        <f t="shared" si="1"/>
        <v>-0.27718585822512659</v>
      </c>
    </row>
    <row r="10" spans="1:19" x14ac:dyDescent="0.25">
      <c r="B10" s="11">
        <v>8</v>
      </c>
      <c r="C10" s="20">
        <f>'E1'!E10</f>
        <v>0.4431512662567248</v>
      </c>
      <c r="D10" s="10">
        <f>L10</f>
        <v>-0.14401167089395275</v>
      </c>
      <c r="E10" s="10">
        <f>E9-(K9*L10)</f>
        <v>0.70945945991371362</v>
      </c>
      <c r="F10" s="10">
        <f>F9-(J9*L10)</f>
        <v>0.22929124000457568</v>
      </c>
      <c r="G10" s="10">
        <f>G9-(I9*L10)</f>
        <v>-8.7568580732169263E-2</v>
      </c>
      <c r="H10" s="5">
        <f>H9-(H9*L10)</f>
        <v>0.11712898388861177</v>
      </c>
      <c r="I10" s="5">
        <f>I9-(G9*L10)</f>
        <v>5.1980572579547919E-4</v>
      </c>
      <c r="J10" s="5">
        <f>J9-(F9*L10)</f>
        <v>-0.10223875183745129</v>
      </c>
      <c r="K10" s="5">
        <f>K9-(E9*L10)</f>
        <v>0.16408500698969733</v>
      </c>
      <c r="L10" s="9">
        <f>(C10-(E9*C9+F9*C8+G9*C7+H9*C6+I9*C5+J9*C4+K9*C3))/(1-(E9*C3+F9*C4+G9*C5+H9*C6+I9*C7+J9*C8+K9*C9))</f>
        <v>-0.14401167089395275</v>
      </c>
      <c r="M10" s="9"/>
      <c r="N10" s="9"/>
      <c r="O10" s="9"/>
      <c r="P10" s="9"/>
      <c r="R10" s="5">
        <f t="shared" si="0"/>
        <v>0.27718585822512659</v>
      </c>
      <c r="S10" s="5">
        <f t="shared" si="1"/>
        <v>-0.27718585822512659</v>
      </c>
    </row>
    <row r="11" spans="1:19" x14ac:dyDescent="0.25">
      <c r="B11" s="11">
        <v>9</v>
      </c>
      <c r="C11" s="20">
        <f>'E1'!E11</f>
        <v>0.38617768344402187</v>
      </c>
      <c r="D11" s="10">
        <f>M11</f>
        <v>-2.5968545312633675E-2</v>
      </c>
      <c r="E11" s="10">
        <f>E10-(L10*M11)</f>
        <v>0.70571968631255588</v>
      </c>
      <c r="F11" s="10">
        <f>F10-(K10*M11)</f>
        <v>0.23355228894371144</v>
      </c>
      <c r="G11" s="10">
        <f>G10-(J10*M11)</f>
        <v>-9.0223572391967224E-2</v>
      </c>
      <c r="H11" s="5">
        <f>H10-(I10*M11)</f>
        <v>0.11714248248715586</v>
      </c>
      <c r="I11" s="5">
        <f>I10-(H10*M11)</f>
        <v>3.5614750513296338E-3</v>
      </c>
      <c r="J11" s="5">
        <f>J10-(G10*M11)</f>
        <v>-0.10451278049415764</v>
      </c>
      <c r="K11" s="5">
        <f>K10-(F10*M11)</f>
        <v>0.17003936694554611</v>
      </c>
      <c r="L11" s="5">
        <f>L10-(E10*M11)</f>
        <v>-0.12558804076170688</v>
      </c>
      <c r="M11" s="21">
        <f>(C11-(E10*C10+F10*C9+G10*C8+H10*C7+I10*C6+J10*C5+K10*C4+L10*C3))/(1-(E10*C3+F10*C4+G10*C5+H10*C6+I10*C7+J10*C8+K10*C9+L10*C10))</f>
        <v>-2.5968545312633675E-2</v>
      </c>
      <c r="R11" s="5">
        <f t="shared" si="0"/>
        <v>0.27718585822512659</v>
      </c>
      <c r="S11" s="5">
        <f t="shared" si="1"/>
        <v>-0.27718585822512659</v>
      </c>
    </row>
    <row r="12" spans="1:19" x14ac:dyDescent="0.25">
      <c r="B12" s="11">
        <v>10</v>
      </c>
      <c r="C12" s="20">
        <f>'E1'!E12</f>
        <v>0.32168749591488821</v>
      </c>
      <c r="D12" s="10">
        <f>N12</f>
        <v>-1.8271565898660958E-2</v>
      </c>
      <c r="E12" s="10">
        <f>E11-(M11*N12)</f>
        <v>0.70524520032558369</v>
      </c>
      <c r="F12" s="10">
        <f>F11-(L11*N12)</f>
        <v>0.2312575987808502</v>
      </c>
      <c r="G12" s="10">
        <f>G11-(K11*N12)</f>
        <v>-8.7116686893455086E-2</v>
      </c>
      <c r="H12" s="5">
        <f>H11-(J11*N12)</f>
        <v>0.11523287033110458</v>
      </c>
      <c r="I12" s="5">
        <f>I11-(I11*N12)</f>
        <v>3.6265487774264403E-3</v>
      </c>
      <c r="J12" s="5">
        <f>J11-(H11*N12)</f>
        <v>-0.10237240390586085</v>
      </c>
      <c r="K12" s="5">
        <f>K11-(G11*N12)</f>
        <v>0.16839084099697368</v>
      </c>
      <c r="L12" s="5">
        <f>L11-(F11*N12)</f>
        <v>-0.12132067472348874</v>
      </c>
      <c r="M12" s="5">
        <f>M11-(E11*N12)</f>
        <v>-1.3073941558191471E-2</v>
      </c>
      <c r="N12" s="21">
        <f>(C12-(E11*C11+F11*C10+G11*C9+H11*C8+I11*C7+J11*C6+K11*C5+L11*C4+M11*C3))/(1-(E11*C3+F11*C4+G11*C5+H11*C6+I11*C7+J11*C8+K11*C9+L11*C10+M11*C11))</f>
        <v>-1.8271565898660958E-2</v>
      </c>
      <c r="R12" s="5">
        <f t="shared" si="0"/>
        <v>0.27718585822512659</v>
      </c>
      <c r="S12" s="5">
        <f t="shared" si="1"/>
        <v>-0.27718585822512659</v>
      </c>
    </row>
    <row r="13" spans="1:19" x14ac:dyDescent="0.25">
      <c r="B13" s="11">
        <v>11</v>
      </c>
      <c r="C13" s="20">
        <f>'E1'!E13</f>
        <v>0.27178159267022739</v>
      </c>
      <c r="D13" s="10">
        <f>O13</f>
        <v>-1.3837778973694058E-2</v>
      </c>
      <c r="E13" s="10">
        <f>E12-(N12*O13)</f>
        <v>0.70499236243517471</v>
      </c>
      <c r="F13" s="10">
        <f>F12-(M12*O13)</f>
        <v>0.23107668446725296</v>
      </c>
      <c r="G13" s="10">
        <f>G12-(L12*O13)</f>
        <v>-8.8795495575218153E-2</v>
      </c>
      <c r="H13" s="5">
        <f>H12-(K12*O13)</f>
        <v>0.11756302557001516</v>
      </c>
      <c r="I13" s="5">
        <f>I12-(J12*O13)</f>
        <v>2.2099420791714037E-3</v>
      </c>
      <c r="J13" s="5">
        <f>J12-(I12*O13)</f>
        <v>-0.1023222205254415</v>
      </c>
      <c r="K13" s="5">
        <f>K12-(H12*O13)</f>
        <v>0.16998540798711986</v>
      </c>
      <c r="L13" s="5">
        <f>L12-(G12*O13)</f>
        <v>-0.12252617618164088</v>
      </c>
      <c r="M13" s="5">
        <f>M12-(F12*O13)</f>
        <v>-9.873850020274846E-3</v>
      </c>
      <c r="N13" s="5">
        <f>N12-(E12*O13)</f>
        <v>-8.5125386942969429E-3</v>
      </c>
      <c r="O13" s="21">
        <f>(C13-(E12*C12+F12*C11+G12*C10+H12*C9+I12*C8+J12*C7+K12*C6+L12*C5+M12*C4+N12*C3))/(1-(E12*C3+F12*C4+G12*C5+H12*C6+I12*C7+J12*C8+K12*C9+L12*C10+M12*C11+N12*C12))</f>
        <v>-1.3837778973694058E-2</v>
      </c>
      <c r="R13" s="5">
        <f t="shared" si="0"/>
        <v>0.27718585822512659</v>
      </c>
      <c r="S13" s="5">
        <f t="shared" si="1"/>
        <v>-0.27718585822512659</v>
      </c>
    </row>
    <row r="14" spans="1:19" x14ac:dyDescent="0.25">
      <c r="B14" s="11">
        <v>12</v>
      </c>
      <c r="C14" s="20">
        <f>'E1'!E14</f>
        <v>0.22981943203033836</v>
      </c>
      <c r="D14" s="10">
        <f>P14</f>
        <v>2.3564754859815077E-2</v>
      </c>
      <c r="E14" s="10">
        <f>E13-(O13*P14)</f>
        <v>0.70531844630449414</v>
      </c>
      <c r="F14" s="10">
        <f>F13-(N13*P14)</f>
        <v>0.23127728035481876</v>
      </c>
      <c r="G14" s="10">
        <f>G13-(M13*P14)</f>
        <v>-8.8562820719967794E-2</v>
      </c>
      <c r="H14" s="5">
        <f>H13-(L13*P14)</f>
        <v>0.12045032487564604</v>
      </c>
      <c r="I14" s="5">
        <f>I13-(K13*P14)</f>
        <v>-1.7957223897907275E-3</v>
      </c>
      <c r="J14" s="5">
        <f>J13-(J13*P14)</f>
        <v>-9.9911022482047529E-2</v>
      </c>
      <c r="K14" s="5">
        <f>K13-(I13*P14)</f>
        <v>0.1699333312437698</v>
      </c>
      <c r="L14" s="5">
        <f>L13-(H13*P14)</f>
        <v>-0.12529652005977646</v>
      </c>
      <c r="M14" s="5">
        <f>M13-(G13*P14)</f>
        <v>-7.7814059343890357E-3</v>
      </c>
      <c r="N14" s="5">
        <f>N13-(F13*P14)</f>
        <v>-1.3957804117586597E-2</v>
      </c>
      <c r="O14" s="5">
        <f>O13-(E13*P14)</f>
        <v>-3.0450751172520853E-2</v>
      </c>
      <c r="P14" s="21">
        <f>(C14-(E13*C13+F13*C12+G13*C11+H13*C10+I13*C9+J13*C8+K13*C7+L13*C6+M13*C5+N13*C4+O13*C3))/(1-(E13*C3+F13*C4+G13*C5+H13*C6+I13*C7+J13*C8+K13*C90+L13*C10+M13*C11+N13*C12+O13*C13))</f>
        <v>2.3564754859815077E-2</v>
      </c>
      <c r="R14" s="5">
        <f t="shared" si="0"/>
        <v>0.27718585822512659</v>
      </c>
      <c r="S14" s="5">
        <f t="shared" si="1"/>
        <v>-0.27718585822512659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7"/>
  <sheetViews>
    <sheetView tabSelected="1" workbookViewId="0">
      <selection activeCell="A3" sqref="A3"/>
    </sheetView>
  </sheetViews>
  <sheetFormatPr defaultRowHeight="15" x14ac:dyDescent="0.25"/>
  <cols>
    <col min="1" max="1" width="5.42578125" customWidth="1"/>
    <col min="2" max="2" width="9.7109375" customWidth="1"/>
    <col min="3" max="3" width="15" customWidth="1"/>
    <col min="4" max="4" width="30.28515625" customWidth="1"/>
    <col min="5" max="5" width="10.42578125" customWidth="1"/>
    <col min="6" max="6" width="7.42578125" customWidth="1"/>
    <col min="7" max="7" width="13.42578125" customWidth="1"/>
    <col min="8" max="8" width="21.5703125" customWidth="1"/>
  </cols>
  <sheetData>
    <row r="1" spans="1:8" x14ac:dyDescent="0.25">
      <c r="A1" s="13" t="s">
        <v>89</v>
      </c>
      <c r="B1" s="1"/>
      <c r="C1" s="1"/>
      <c r="D1" s="1"/>
      <c r="E1" s="1"/>
      <c r="F1" s="1"/>
      <c r="G1" s="1"/>
      <c r="H1" s="1"/>
    </row>
    <row r="2" spans="1:8" ht="40.5" customHeight="1" x14ac:dyDescent="0.25">
      <c r="A2" s="1"/>
      <c r="B2" s="1"/>
      <c r="C2" s="23" t="s">
        <v>88</v>
      </c>
      <c r="D2" s="1"/>
      <c r="E2" s="1"/>
      <c r="F2" s="1"/>
      <c r="G2" s="1"/>
      <c r="H2" s="1"/>
    </row>
    <row r="3" spans="1:8" x14ac:dyDescent="0.25">
      <c r="B3" s="1"/>
      <c r="C3" s="22">
        <v>50</v>
      </c>
      <c r="D3" s="1"/>
      <c r="E3" s="22">
        <f>1/SQRT(C3)</f>
        <v>0.1414213562373095</v>
      </c>
      <c r="F3" s="24" t="s">
        <v>58</v>
      </c>
      <c r="G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30" t="s">
        <v>43</v>
      </c>
      <c r="B5" s="31" t="s">
        <v>37</v>
      </c>
      <c r="C5" s="31" t="s">
        <v>59</v>
      </c>
      <c r="D5" s="30" t="s">
        <v>60</v>
      </c>
      <c r="E5" s="30" t="s">
        <v>61</v>
      </c>
      <c r="F5" s="30" t="s">
        <v>62</v>
      </c>
      <c r="G5" s="30" t="s">
        <v>63</v>
      </c>
      <c r="H5" s="30" t="s">
        <v>64</v>
      </c>
    </row>
    <row r="6" spans="1:8" x14ac:dyDescent="0.25">
      <c r="A6" s="25">
        <v>1</v>
      </c>
      <c r="B6" s="26">
        <f>'E1'!E3</f>
        <v>0.87973577164154104</v>
      </c>
      <c r="C6" s="26">
        <f>'E2'!D3</f>
        <v>0.87973577164154104</v>
      </c>
      <c r="D6" s="27">
        <f>$C$3*($C$3+2)*SUMPRODUCT(($B$6:B6)^2,1/($C$3-($A$6:A6)))</f>
        <v>41.06594025622281</v>
      </c>
      <c r="E6" s="28">
        <f>CHIDIST(D6,A6)</f>
        <v>1.471789027079895E-10</v>
      </c>
      <c r="F6" s="26">
        <f>B6/$E$3</f>
        <v>6.2206712978011369</v>
      </c>
      <c r="G6" s="29">
        <f>TDIST(ABS(F6),$C$3-1,2)</f>
        <v>1.0685198628207527E-7</v>
      </c>
      <c r="H6" s="25" t="str">
        <f>IF(G6&lt;0.05,"Significant","Non-significant")</f>
        <v>Significant</v>
      </c>
    </row>
    <row r="7" spans="1:8" x14ac:dyDescent="0.25">
      <c r="A7" s="25">
        <v>2</v>
      </c>
      <c r="B7" s="26">
        <f>'E1'!E4</f>
        <v>0.82474725029984386</v>
      </c>
      <c r="C7" s="26">
        <f>'E2'!D4</f>
        <v>0.22476822447716061</v>
      </c>
      <c r="D7" s="27">
        <f>$C$3*($C$3+2)*SUMPRODUCT(($B$6:B7)^2,1/($C$3-($A$6:A7)))</f>
        <v>77.910541712068607</v>
      </c>
      <c r="E7" s="28">
        <f>CHIDIST(D7,A7)</f>
        <v>1.2076492783478371E-17</v>
      </c>
      <c r="F7" s="26">
        <f t="shared" ref="F7:F12" si="0">B7/$E$3</f>
        <v>5.8318437345197847</v>
      </c>
      <c r="G7" s="29">
        <f t="shared" ref="G7:G12" si="1">TDIST(ABS(F7),$C$3-1,2)</f>
        <v>4.2453381237339845E-7</v>
      </c>
      <c r="H7" s="25" t="str">
        <f t="shared" ref="H7:H12" si="2">IF(G7&lt;0.05,"Significant","Non-significant")</f>
        <v>Significant</v>
      </c>
    </row>
    <row r="8" spans="1:8" x14ac:dyDescent="0.25">
      <c r="A8" s="25">
        <v>3</v>
      </c>
      <c r="B8" s="26">
        <f>'E1'!E5</f>
        <v>0.74918187224650046</v>
      </c>
      <c r="C8" s="26">
        <f>'E2'!D5</f>
        <v>-5.1395229430121217E-2</v>
      </c>
      <c r="D8" s="27">
        <f>$C$3*($C$3+2)*SUMPRODUCT(($B$6:B8)^2,1/($C$3-($A$6:A8)))</f>
        <v>108.95971281903044</v>
      </c>
      <c r="E8" s="28">
        <f>CHIDIST(D8,A8)</f>
        <v>1.8374028064157553E-23</v>
      </c>
      <c r="F8" s="26">
        <f t="shared" si="0"/>
        <v>5.2975158220753418</v>
      </c>
      <c r="G8" s="29">
        <f t="shared" si="1"/>
        <v>2.7679318065173493E-6</v>
      </c>
      <c r="H8" s="25" t="str">
        <f t="shared" si="2"/>
        <v>Significant</v>
      </c>
    </row>
    <row r="9" spans="1:8" x14ac:dyDescent="0.25">
      <c r="A9" s="25">
        <v>4</v>
      </c>
      <c r="B9" s="26">
        <f>'E1'!E6</f>
        <v>0.69910032602886274</v>
      </c>
      <c r="C9" s="26">
        <f>'E2'!D6</f>
        <v>4.8734808361235622E-2</v>
      </c>
      <c r="D9" s="27">
        <f>$C$3*($C$3+2)*SUMPRODUCT(($B$6:B9)^2,1/($C$3-($A$6:A9)))</f>
        <v>136.58421914988961</v>
      </c>
      <c r="E9" s="25">
        <f t="shared" ref="E9:E12" si="3">CHIDIST(D9,A9)</f>
        <v>1.519838485472242E-28</v>
      </c>
      <c r="F9" s="26">
        <f t="shared" si="0"/>
        <v>4.9433858126473504</v>
      </c>
      <c r="G9" s="29">
        <f t="shared" si="1"/>
        <v>9.3915019911469898E-6</v>
      </c>
      <c r="H9" s="25" t="str">
        <f t="shared" si="2"/>
        <v>Significant</v>
      </c>
    </row>
    <row r="10" spans="1:8" x14ac:dyDescent="0.25">
      <c r="A10" s="25">
        <v>5</v>
      </c>
      <c r="B10" s="26">
        <f>'E1'!E7</f>
        <v>0.6365992346485212</v>
      </c>
      <c r="C10" s="26">
        <f>'E2'!D7</f>
        <v>-3.6469316795223403E-2</v>
      </c>
      <c r="D10" s="27">
        <f>$C$3*($C$3+2)*SUMPRODUCT(($B$6:B10)^2,1/($C$3-($A$6:A10)))</f>
        <v>159.99915964862774</v>
      </c>
      <c r="E10" s="25">
        <f t="shared" si="3"/>
        <v>9.9023118433891786E-33</v>
      </c>
      <c r="F10" s="26">
        <f t="shared" si="0"/>
        <v>4.5014363571813547</v>
      </c>
      <c r="G10" s="29">
        <f t="shared" si="1"/>
        <v>4.1725983437492307E-5</v>
      </c>
      <c r="H10" s="25" t="str">
        <f t="shared" si="2"/>
        <v>Significant</v>
      </c>
    </row>
    <row r="11" spans="1:8" x14ac:dyDescent="0.25">
      <c r="A11" s="25">
        <v>6</v>
      </c>
      <c r="B11" s="26">
        <f>'E1'!E8</f>
        <v>0.56673270447948676</v>
      </c>
      <c r="C11" s="26">
        <f>'E2'!D8</f>
        <v>-9.4220140472369915E-2</v>
      </c>
      <c r="D11" s="27">
        <f>$C$3*($C$3+2)*SUMPRODUCT(($B$6:B11)^2,1/($C$3-($A$6:A11)))</f>
        <v>178.97832991338333</v>
      </c>
      <c r="E11" s="25">
        <f t="shared" si="3"/>
        <v>5.5919807769054315E-36</v>
      </c>
      <c r="F11" s="26">
        <f t="shared" si="0"/>
        <v>4.0074053845763675</v>
      </c>
      <c r="G11" s="29">
        <f t="shared" si="1"/>
        <v>2.0850998877297165E-4</v>
      </c>
      <c r="H11" s="25" t="str">
        <f t="shared" si="2"/>
        <v>Significant</v>
      </c>
    </row>
    <row r="12" spans="1:8" x14ac:dyDescent="0.25">
      <c r="A12" s="25">
        <v>7</v>
      </c>
      <c r="B12" s="26">
        <f>'E1'!E9</f>
        <v>0.52245060411230415</v>
      </c>
      <c r="C12" s="26">
        <f>'E2'!D9</f>
        <v>6.3225828030409686E-2</v>
      </c>
      <c r="D12" s="27">
        <f>$C$3*($C$3+2)*SUMPRODUCT(($B$6:B12)^2,1/($C$3-($A$6:A12)))</f>
        <v>195.48256358122077</v>
      </c>
      <c r="E12" s="25">
        <f t="shared" si="3"/>
        <v>1.0381381456128175E-38</v>
      </c>
      <c r="F12" s="26">
        <f t="shared" si="0"/>
        <v>3.6942836500281864</v>
      </c>
      <c r="G12" s="29">
        <f t="shared" si="1"/>
        <v>5.5536144136069732E-4</v>
      </c>
      <c r="H12" s="25" t="str">
        <f t="shared" si="2"/>
        <v>Significant</v>
      </c>
    </row>
    <row r="13" spans="1:8" x14ac:dyDescent="0.25">
      <c r="A13" s="25">
        <v>8</v>
      </c>
      <c r="B13" s="26">
        <f>'E1'!E10</f>
        <v>0.4431512662567248</v>
      </c>
      <c r="C13" s="26">
        <f>'E2'!D10</f>
        <v>-0.14401167089395275</v>
      </c>
      <c r="D13" s="27">
        <f>$C$3*($C$3+2)*SUMPRODUCT(($B$6:B13)^2,1/($C$3-($A$6:A13)))</f>
        <v>207.63960921076458</v>
      </c>
      <c r="E13" s="25">
        <f t="shared" ref="E13" si="4">CHIDIST(D13,A13)</f>
        <v>1.5664980350364351E-40</v>
      </c>
      <c r="F13" s="26">
        <f t="shared" ref="F13" si="5">B13/$E$3</f>
        <v>3.1335526546153538</v>
      </c>
      <c r="G13" s="29">
        <f t="shared" ref="G13" si="6">TDIST(ABS(F13),$C$3-1,2)</f>
        <v>2.914476624720528E-3</v>
      </c>
      <c r="H13" s="25" t="str">
        <f t="shared" ref="H13" si="7">IF(G13&lt;0.05,"Significant","Non-significant")</f>
        <v>Significant</v>
      </c>
    </row>
    <row r="14" spans="1:8" x14ac:dyDescent="0.25">
      <c r="A14" s="25">
        <v>9</v>
      </c>
      <c r="B14" s="26">
        <f>'E1'!E11</f>
        <v>0.38617768344402187</v>
      </c>
      <c r="C14" s="26">
        <f>'E2'!D11</f>
        <v>-2.5968545312633675E-2</v>
      </c>
      <c r="D14" s="27">
        <f>$C$3*($C$3+2)*SUMPRODUCT(($B$6:B14)^2,1/($C$3-($A$6:A14)))</f>
        <v>217.09683673014257</v>
      </c>
      <c r="E14" s="25">
        <f t="shared" ref="E14:E17" si="8">CHIDIST(D14,A14)</f>
        <v>8.5341008629574291E-42</v>
      </c>
      <c r="F14" s="26">
        <f t="shared" ref="F14:F17" si="9">B14/$E$3</f>
        <v>2.7306885870617981</v>
      </c>
      <c r="G14" s="29">
        <f t="shared" ref="G14:G17" si="10">TDIST(ABS(F14),$C$3-1,2)</f>
        <v>8.7587499625174405E-3</v>
      </c>
      <c r="H14" s="25" t="str">
        <f t="shared" ref="H14:H17" si="11">IF(G14&lt;0.05,"Significant","Non-significant")</f>
        <v>Significant</v>
      </c>
    </row>
    <row r="15" spans="1:8" x14ac:dyDescent="0.25">
      <c r="A15" s="25">
        <v>10</v>
      </c>
      <c r="B15" s="26">
        <f>'E1'!E12</f>
        <v>0.32168749591488821</v>
      </c>
      <c r="C15" s="26">
        <f>'E2'!D12</f>
        <v>-1.8271565898660958E-2</v>
      </c>
      <c r="D15" s="27">
        <f>$C$3*($C$3+2)*SUMPRODUCT(($B$6:B15)^2,1/($C$3-($A$6:A15)))</f>
        <v>223.823221656962</v>
      </c>
      <c r="E15" s="25">
        <f t="shared" si="8"/>
        <v>1.6918229235953087E-42</v>
      </c>
      <c r="F15" s="26">
        <f t="shared" si="9"/>
        <v>2.2746740978433726</v>
      </c>
      <c r="G15" s="29">
        <f t="shared" si="10"/>
        <v>2.7338998907467583E-2</v>
      </c>
      <c r="H15" s="25" t="str">
        <f t="shared" si="11"/>
        <v>Significant</v>
      </c>
    </row>
    <row r="16" spans="1:8" x14ac:dyDescent="0.25">
      <c r="A16" s="25">
        <v>11</v>
      </c>
      <c r="B16" s="26">
        <f>'E1'!E13</f>
        <v>0.27178159267022739</v>
      </c>
      <c r="C16" s="26">
        <f>'E2'!D13</f>
        <v>-1.3837778973694058E-2</v>
      </c>
      <c r="D16" s="27">
        <f>$C$3*($C$3+2)*SUMPRODUCT(($B$6:B16)^2,1/($C$3-($A$6:A16)))</f>
        <v>228.74757059791969</v>
      </c>
      <c r="E16" s="25">
        <f t="shared" si="8"/>
        <v>7.7442998932573837E-43</v>
      </c>
      <c r="F16" s="26">
        <f t="shared" si="9"/>
        <v>1.9217860717879787</v>
      </c>
      <c r="G16" s="29">
        <f t="shared" si="10"/>
        <v>6.0458189046366226E-2</v>
      </c>
      <c r="H16" s="25" t="str">
        <f t="shared" si="11"/>
        <v>Non-significant</v>
      </c>
    </row>
    <row r="17" spans="1:8" x14ac:dyDescent="0.25">
      <c r="A17" s="25">
        <v>12</v>
      </c>
      <c r="B17" s="26">
        <f>'E1'!E14</f>
        <v>0.22981943203033836</v>
      </c>
      <c r="C17" s="26">
        <f>'E2'!D14</f>
        <v>2.3564754859815077E-2</v>
      </c>
      <c r="D17" s="27">
        <f>$C$3*($C$3+2)*SUMPRODUCT(($B$6:B17)^2,1/($C$3-($A$6:A17)))</f>
        <v>232.36136337372869</v>
      </c>
      <c r="E17" s="25">
        <f t="shared" si="8"/>
        <v>6.4386016749574828E-43</v>
      </c>
      <c r="F17" s="26">
        <f t="shared" si="9"/>
        <v>1.6250687883709309</v>
      </c>
      <c r="G17" s="29">
        <f t="shared" si="10"/>
        <v>0.11056366278559439</v>
      </c>
      <c r="H17" s="25" t="str">
        <f t="shared" si="11"/>
        <v>Non-significant</v>
      </c>
    </row>
  </sheetData>
  <pageMargins left="0.7" right="0.7" top="0.75" bottom="0.75" header="0.3" footer="0.3"/>
  <ignoredErrors>
    <ignoredError sqref="D7:D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</vt:lpstr>
      <vt:lpstr>E2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2020-09-20T07:09:25Z</dcterms:modified>
</cp:coreProperties>
</file>